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Helix Software DCF valuation" sheetId="1" r:id="rId1"/>
    <sheet name="Operating drivers" sheetId="2" r:id="rId2"/>
    <sheet name="WACC, terminal value and equity" sheetId="3" r:id="rId3"/>
    <sheet name="Unlevered free cash flow" sheetId="4" r:id="rId4"/>
    <sheet name="Valuation by terminal value met" sheetId="5" r:id="rId5"/>
    <sheet name="Price per share WACC × terminal" sheetId="6" r:id="rId6"/>
    <sheet name="Price per share WACC × exit mul" sheetId="7" r:id="rId7"/>
    <sheet name="Periods" sheetId="8" r:id="rId8"/>
    <sheet name="Terminal value method" sheetId="9" r:id="rId9"/>
    <sheet name="WACC cases" sheetId="10" r:id="rId10"/>
    <sheet name="Terminal growth cases" sheetId="11" r:id="rId11"/>
    <sheet name="Exit multiple cases" sheetId="12" r:id="rId12"/>
    <sheet name="Operating drivers lines" sheetId="13" r:id="rId13"/>
    <sheet name="WACC, terminal value and eq (2)" sheetId="14" r:id="rId14"/>
    <sheet name="Unlevered free cash flow lines" sheetId="15" r:id="rId15"/>
    <sheet name="Valuation by terminal value (2)" sheetId="16" r:id="rId16"/>
    <sheet name="Price per share WACC × term (2)" sheetId="17" r:id="rId17"/>
    <sheet name="Price per share WACC × exit (2)" sheetId="18" r:id="rId18"/>
    <sheet name="Rules" sheetId="19" r:id="rId19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Revenue, EBITDA and unlevered free cash flow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'Helix Software DCF valuation'!$A$79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'Helix Software DCF valuation'!$B$78:$G$78</c:f>
            </c:strRef>
          </c:cat>
          <c:val>
            <c:numRef>
              <c:f>'Helix Software DCF valuation'!$B$79:$G$79</c:f>
            </c:numRef>
          </c:val>
        </c:ser>
        <c:ser>
          <c:idx val="1"/>
          <c:order val="1"/>
          <c:tx>
            <c:strRef>
              <c:f>'Helix Software DCF valuation'!$A$80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'Helix Software DCF valuation'!$B$78:$G$78</c:f>
            </c:strRef>
          </c:cat>
          <c:val>
            <c:numRef>
              <c:f>'Helix Software DCF valuation'!$B$80:$G$80</c:f>
            </c:numRef>
          </c:val>
        </c:ser>
        <c:ser>
          <c:idx val="2"/>
          <c:order val="2"/>
          <c:tx>
            <c:strRef>
              <c:f>'Helix Software DCF valuation'!$A$81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'Helix Software DCF valuation'!$B$78:$G$78</c:f>
            </c:strRef>
          </c:cat>
          <c:val>
            <c:numRef>
              <c:f>'Helix Software DCF valuation'!$B$81:$G$81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Growth and margin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'Helix Software DCF valuation'!$A$102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'Helix Software DCF valuation'!$B$101:$F$101</c:f>
            </c:strRef>
          </c:cat>
          <c:val>
            <c:numRef>
              <c:f>'Helix Software DCF valuation'!$B$102:$F$102</c:f>
            </c:numRef>
          </c:val>
          <c:smooth val="0"/>
        </c:ser>
        <c:ser>
          <c:idx val="1"/>
          <c:order val="1"/>
          <c:tx>
            <c:strRef>
              <c:f>'Helix Software DCF valuation'!$A$103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'Helix Software DCF valuation'!$B$101:$F$101</c:f>
            </c:strRef>
          </c:cat>
          <c:val>
            <c:numRef>
              <c:f>'Helix Software DCF valuation'!$B$103:$F$103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Enterprise value: forecast cash flows and terminal value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'Helix Software DCF valuation'!$A$140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'Helix Software DCF valuation'!$B$139:$C$139</c:f>
            </c:strRef>
          </c:cat>
          <c:val>
            <c:numRef>
              <c:f>'Helix Software DCF valuation'!$B$140:$C$140</c:f>
            </c:numRef>
          </c:val>
        </c:ser>
        <c:ser>
          <c:idx val="1"/>
          <c:order val="1"/>
          <c:tx>
            <c:strRef>
              <c:f>'Helix Software DCF valuation'!$A$141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'Helix Software DCF valuation'!$B$139:$C$139</c:f>
            </c:strRef>
          </c:cat>
          <c:val>
            <c:numRef>
              <c:f>'Helix Software DCF valuation'!$B$141:$C$141</c:f>
            </c:numRef>
          </c:val>
        </c:ser>
        <c:gapWidth val="60"/>
        <c:overlap val="10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Price per share across WACC and terminal growth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'Helix Software DCF valuation'!$A$162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'Helix Software DCF valuation'!$B$161:$F$161</c:f>
            </c:strRef>
          </c:cat>
          <c:val>
            <c:numRef>
              <c:f>'Helix Software DCF valuation'!$B$162:$F$162</c:f>
            </c:numRef>
          </c:val>
        </c:ser>
        <c:ser>
          <c:idx val="1"/>
          <c:order val="1"/>
          <c:tx>
            <c:strRef>
              <c:f>'Helix Software DCF valuation'!$A$163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'Helix Software DCF valuation'!$B$161:$F$161</c:f>
            </c:strRef>
          </c:cat>
          <c:val>
            <c:numRef>
              <c:f>'Helix Software DCF valuation'!$B$163:$F$163</c:f>
            </c:numRef>
          </c:val>
        </c:ser>
        <c:ser>
          <c:idx val="2"/>
          <c:order val="2"/>
          <c:tx>
            <c:strRef>
              <c:f>'Helix Software DCF valuation'!$A$164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'Helix Software DCF valuation'!$B$161:$F$161</c:f>
            </c:strRef>
          </c:cat>
          <c:val>
            <c:numRef>
              <c:f>'Helix Software DCF valuation'!$B$164:$F$164</c:f>
            </c:numRef>
          </c:val>
        </c:ser>
        <c:ser>
          <c:idx val="3"/>
          <c:order val="3"/>
          <c:tx>
            <c:strRef>
              <c:f>'Helix Software DCF valuation'!$A$165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'Helix Software DCF valuation'!$B$161:$F$161</c:f>
            </c:strRef>
          </c:cat>
          <c:val>
            <c:numRef>
              <c:f>'Helix Software DCF valuation'!$B$165:$F$165</c:f>
            </c:numRef>
          </c:val>
        </c:ser>
        <c:ser>
          <c:idx val="4"/>
          <c:order val="4"/>
          <c:tx>
            <c:strRef>
              <c:f>'Helix Software DCF valuation'!$A$166</c:f>
            </c:strRef>
          </c:tx>
          <c:spPr>
            <a:solidFill>
              <a:srgbClr val="7048E8"/>
            </a:solidFill>
          </c:spPr>
          <c:invertIfNegative val="0"/>
          <c:cat>
            <c:strRef>
              <c:f>'Helix Software DCF valuation'!$B$161:$F$161</c:f>
            </c:strRef>
          </c:cat>
          <c:val>
            <c:numRef>
              <c:f>'Helix Software DCF valuation'!$B$166:$F$166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82</xdr:row>
      <xdr:rowOff>0</xdr:rowOff>
    </xdr:from>
    <xdr:to>
      <xdr:col>9</xdr:col>
      <xdr:colOff>0</xdr:colOff>
      <xdr:row>98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104</xdr:row>
      <xdr:rowOff>0</xdr:rowOff>
    </xdr:from>
    <xdr:to>
      <xdr:col>9</xdr:col>
      <xdr:colOff>0</xdr:colOff>
      <xdr:row>120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142</xdr:row>
      <xdr:rowOff>0</xdr:rowOff>
    </xdr:from>
    <xdr:to>
      <xdr:col>9</xdr:col>
      <xdr:colOff>0</xdr:colOff>
      <xdr:row>158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167</xdr:row>
      <xdr:rowOff>0</xdr:rowOff>
    </xdr:from>
    <xdr:to>
      <xdr:col>9</xdr:col>
      <xdr:colOff>0</xdr:colOff>
      <xdr:row>183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1" t="inlineStr">
        <is>
          <t xml:space="preserve">EV, perpetuity growth</t>
        </is>
      </c>
    </row>
    <row r="2">
      <c r="A2" s="1" t="inlineStr">
        <is>
          <t xml:space="preserve">line</t>
        </is>
      </c>
      <c r="B2" s="1" t="inlineStr">
        <is>
          <t xml:space="preserve">value</t>
        </is>
      </c>
    </row>
    <row r="3">
      <c r="A3" s="0" t="inlineStr">
        <is>
          <t xml:space="preserve">Enterprise value</t>
        </is>
      </c>
      <c r="B3" s="8">
        <f>'Valuation by terminal value met'!B5</f>
        <v>3697.9982503450437</v>
      </c>
    </row>
    <row r="5">
      <c r="A5" s="1" t="inlineStr">
        <is>
          <t xml:space="preserve">Per share, perpetuity growth</t>
        </is>
      </c>
    </row>
    <row r="6">
      <c r="A6" s="1" t="inlineStr">
        <is>
          <t xml:space="preserve">line</t>
        </is>
      </c>
      <c r="B6" s="1" t="inlineStr">
        <is>
          <t xml:space="preserve">value</t>
        </is>
      </c>
    </row>
    <row r="7">
      <c r="A7" s="0" t="inlineStr">
        <is>
          <t xml:space="preserve">Equity value per share ($)</t>
        </is>
      </c>
      <c r="B7" s="8">
        <f>'Valuation by terminal value met'!B8</f>
        <v>58.29997083908406</v>
      </c>
    </row>
    <row r="9">
      <c r="A9" s="1" t="inlineStr">
        <is>
          <t xml:space="preserve">Per share, exit multiple</t>
        </is>
      </c>
    </row>
    <row r="10">
      <c r="A10" s="1" t="inlineStr">
        <is>
          <t xml:space="preserve">line</t>
        </is>
      </c>
      <c r="B10" s="1" t="inlineStr">
        <is>
          <t xml:space="preserve">value</t>
        </is>
      </c>
    </row>
    <row r="11">
      <c r="A11" s="0" t="inlineStr">
        <is>
          <t xml:space="preserve">Equity value per share ($)</t>
        </is>
      </c>
      <c r="B11" s="8">
        <f>'Valuation by terminal value met'!C8</f>
        <v>72.84000007366966</v>
      </c>
    </row>
    <row r="13">
      <c r="A13" s="1" t="inlineStr">
        <is>
          <t xml:space="preserve">Premium to current price</t>
        </is>
      </c>
    </row>
    <row r="14">
      <c r="A14" s="1" t="inlineStr">
        <is>
          <t xml:space="preserve">line</t>
        </is>
      </c>
      <c r="B14" s="1" t="inlineStr">
        <is>
          <t xml:space="preserve">value</t>
        </is>
      </c>
    </row>
    <row r="15">
      <c r="A15" s="0" t="inlineStr">
        <is>
          <t xml:space="preserve">Implied premium to current</t>
        </is>
      </c>
      <c r="B15" s="12">
        <f>'Valuation by terminal value met'!B10</f>
        <v>0.005171911018690745</v>
      </c>
    </row>
    <row r="17">
      <c r="A17" s="1" t="inlineStr">
        <is>
          <t xml:space="preserve">Valuation summary: perpetuity growth vs exit multiple</t>
        </is>
      </c>
    </row>
    <row r="18">
      <c r="A18" s="1" t="inlineStr">
        <is>
          <t xml:space="preserve">line</t>
        </is>
      </c>
      <c r="B18" s="1" t="inlineStr">
        <is>
          <t xml:space="preserve">Perpetuity growth</t>
        </is>
      </c>
      <c r="C18" s="1" t="inlineStr">
        <is>
          <t xml:space="preserve">Exit multiple</t>
        </is>
      </c>
    </row>
    <row r="19">
      <c r="A19" s="0" t="inlineStr">
        <is>
          <t xml:space="preserve">PV of forecast cash flows</t>
        </is>
      </c>
      <c r="B19" s="8">
        <f>'Valuation by terminal value met'!B2</f>
        <v>640.8104805468065</v>
      </c>
      <c r="C19" s="8">
        <f>'Valuation by terminal value met'!C2</f>
        <v>640.8104805468065</v>
      </c>
    </row>
    <row r="20">
      <c r="A20" s="0" t="inlineStr">
        <is>
          <t xml:space="preserve">Terminal value</t>
        </is>
      </c>
      <c r="B20" s="8">
        <f>'Valuation by terminal value met'!B3</f>
        <v>4615.52689672806</v>
      </c>
      <c r="C20" s="8">
        <f>'Valuation by terminal value met'!C3</f>
        <v>5932.617655910401</v>
      </c>
    </row>
    <row r="21">
      <c r="A21" s="0" t="inlineStr">
        <is>
          <t xml:space="preserve">PV of terminal value</t>
        </is>
      </c>
      <c r="B21" s="8">
        <f>'Valuation by terminal value met'!B4</f>
        <v>3057.1877697982372</v>
      </c>
      <c r="C21" s="8">
        <f>'Valuation by terminal value met'!C4</f>
        <v>3929.589523873373</v>
      </c>
    </row>
    <row r="22">
      <c r="A22" s="0" t="inlineStr">
        <is>
          <t xml:space="preserve">Enterprise value</t>
        </is>
      </c>
      <c r="B22" s="8">
        <f>'Valuation by terminal value met'!B5</f>
        <v>3697.9982503450437</v>
      </c>
      <c r="C22" s="8">
        <f>'Valuation by terminal value met'!C5</f>
        <v>4570.400004420179</v>
      </c>
    </row>
    <row r="23">
      <c r="A23" s="0" t="inlineStr">
        <is>
          <t xml:space="preserve">Less: net debt</t>
        </is>
      </c>
      <c r="B23" s="4">
        <f>'Valuation by terminal value met'!B6</f>
        <v>200</v>
      </c>
      <c r="C23" s="4">
        <f>'Valuation by terminal value met'!C6</f>
        <v>200</v>
      </c>
    </row>
    <row r="24">
      <c r="A24" s="0" t="inlineStr">
        <is>
          <t xml:space="preserve">Equity value</t>
        </is>
      </c>
      <c r="B24" s="8">
        <f>'Valuation by terminal value met'!B7</f>
        <v>3497.9982503450437</v>
      </c>
      <c r="C24" s="8">
        <f>'Valuation by terminal value met'!C7</f>
        <v>4370.400004420179</v>
      </c>
    </row>
    <row r="25">
      <c r="A25" s="0" t="inlineStr">
        <is>
          <t xml:space="preserve">Equity value per share ($)</t>
        </is>
      </c>
      <c r="B25" s="8">
        <f>'Valuation by terminal value met'!B8</f>
        <v>58.29997083908406</v>
      </c>
      <c r="C25" s="8">
        <f>'Valuation by terminal value met'!C8</f>
        <v>72.84000007366966</v>
      </c>
    </row>
    <row r="26">
      <c r="A26" s="0" t="inlineStr">
        <is>
          <t xml:space="preserve">Current share price ($)</t>
        </is>
      </c>
      <c r="B26" s="4">
        <f>'Valuation by terminal value met'!B9</f>
        <v>58</v>
      </c>
      <c r="C26" s="4">
        <f>'Valuation by terminal value met'!C9</f>
        <v>58</v>
      </c>
    </row>
    <row r="27">
      <c r="A27" s="0" t="inlineStr">
        <is>
          <t xml:space="preserve">Implied premium to current</t>
        </is>
      </c>
      <c r="B27" s="12">
        <f>'Valuation by terminal value met'!B10</f>
        <v>0.005171911018690745</v>
      </c>
      <c r="C27" s="12">
        <f>'Valuation by terminal value met'!C10</f>
        <v>0.25586207023568375</v>
      </c>
    </row>
    <row r="28">
      <c r="A28" s="0" t="inlineStr">
        <is>
          <t xml:space="preserve">Terminal value, % of EV</t>
        </is>
      </c>
      <c r="B28" s="12">
        <f>'Valuation by terminal value met'!B11</f>
        <v>0.8267142283025647</v>
      </c>
      <c r="C28" s="12">
        <f>'Valuation by terminal value met'!C11</f>
        <v>0.8597911605270746</v>
      </c>
    </row>
    <row r="29">
      <c r="A29" s="0" t="inlineStr">
        <is>
          <t xml:space="preserve">Implied exit multiple, EV / EBITDA (x)</t>
        </is>
      </c>
      <c r="B29" s="8">
        <f>'Valuation by terminal value met'!B12</f>
        <v>12.447866124336715</v>
      </c>
      <c r="C29" s="8">
        <f>'Valuation by terminal value met'!C12</f>
        <v>16</v>
      </c>
    </row>
    <row r="30">
      <c r="A30" s="0" t="inlineStr">
        <is>
          <t xml:space="preserve">Implied perpetuity growth</t>
        </is>
      </c>
      <c r="B30" s="12">
        <f>'Valuation by terminal value met'!B13</f>
        <v>0.03499999999999999</v>
      </c>
      <c r="C30" s="12">
        <f>'Valuation by terminal value met'!C13</f>
        <v>0.04587865566410571</v>
      </c>
    </row>
    <row r="31">
      <c r="A31" s="0" t="inlineStr">
        <is>
          <t xml:space="preserve">Implied EV / LTM EBITDA (x)</t>
        </is>
      </c>
      <c r="B31" s="8">
        <f>'Valuation by terminal value met'!B14</f>
        <v>26.414273216750313</v>
      </c>
      <c r="C31" s="8">
        <f>'Valuation by terminal value met'!C14</f>
        <v>32.645714317286995</v>
      </c>
    </row>
    <row r="33">
      <c r="A33" s="1" t="inlineStr">
        <is>
          <t xml:space="preserve">WACC build-up, terminal value and equity bridge (edit any input)</t>
        </is>
      </c>
      <c r="B33" s="3" t="inlineStr">
        <is>
          <t xml:space="preserve">Inputs: edit the blue cells on the 'WACC, terminal value and equity' sheet; this table follows them.</t>
        </is>
      </c>
    </row>
    <row r="34">
      <c r="A34" s="1" t="inlineStr">
        <is>
          <t xml:space="preserve">line</t>
        </is>
      </c>
      <c r="B34" s="1" t="inlineStr">
        <is>
          <t xml:space="preserve">value</t>
        </is>
      </c>
    </row>
    <row r="35">
      <c r="A35" s="0" t="inlineStr">
        <is>
          <t xml:space="preserve">Risk-free rate</t>
        </is>
      </c>
      <c r="B35" s="12">
        <f>'WACC, terminal value and equity'!B2</f>
        <v>0.042</v>
      </c>
    </row>
    <row r="36">
      <c r="A36" s="0" t="inlineStr">
        <is>
          <t xml:space="preserve">Levered beta</t>
        </is>
      </c>
      <c r="B36" s="8">
        <f>'WACC, terminal value and equity'!B3</f>
        <v>1.15</v>
      </c>
    </row>
    <row r="37">
      <c r="A37" s="0" t="inlineStr">
        <is>
          <t xml:space="preserve">Equity risk premium</t>
        </is>
      </c>
      <c r="B37" s="12">
        <f>'WACC, terminal value and equity'!B4</f>
        <v>0.045</v>
      </c>
    </row>
    <row r="38">
      <c r="A38" s="0" t="inlineStr">
        <is>
          <t xml:space="preserve">Cost of equity</t>
        </is>
      </c>
      <c r="B38" s="12">
        <f>'WACC, terminal value and equity'!B5</f>
        <v>0.09375</v>
      </c>
    </row>
    <row r="39">
      <c r="A39" s="0" t="inlineStr">
        <is>
          <t xml:space="preserve">Pre-tax cost of debt</t>
        </is>
      </c>
      <c r="B39" s="12">
        <f>'WACC, terminal value and equity'!B6</f>
        <v>0.055</v>
      </c>
    </row>
    <row r="40">
      <c r="A40" s="0" t="inlineStr">
        <is>
          <t xml:space="preserve">Tax rate</t>
        </is>
      </c>
      <c r="B40" s="12">
        <f>'WACC, terminal value and equity'!B7</f>
        <v>0.25</v>
      </c>
    </row>
    <row r="41">
      <c r="A41" s="0" t="inlineStr">
        <is>
          <t xml:space="preserve">After-tax cost of debt</t>
        </is>
      </c>
      <c r="B41" s="12">
        <f>'WACC, terminal value and equity'!B8</f>
        <v>0.04125</v>
      </c>
    </row>
    <row r="42">
      <c r="A42" s="0" t="inlineStr">
        <is>
          <t xml:space="preserve">Debt / (debt + equity)</t>
        </is>
      </c>
      <c r="B42" s="12">
        <f>'WACC, terminal value and equity'!B9</f>
        <v>0.15</v>
      </c>
    </row>
    <row r="43">
      <c r="A43" s="0" t="inlineStr">
        <is>
          <t xml:space="preserve">Equity / (debt + equity)</t>
        </is>
      </c>
      <c r="B43" s="12">
        <f>'WACC, terminal value and equity'!B10</f>
        <v>0.85</v>
      </c>
    </row>
    <row r="44">
      <c r="A44" s="0" t="inlineStr">
        <is>
          <t xml:space="preserve">WACC</t>
        </is>
      </c>
      <c r="B44" s="12">
        <f>'WACC, terminal value and equity'!B11</f>
        <v>0.08587499999999999</v>
      </c>
    </row>
    <row r="45">
      <c r="A45" s="0" t="inlineStr">
        <is>
          <t xml:space="preserve">Terminal growth rate</t>
        </is>
      </c>
      <c r="B45" s="12">
        <f>'WACC, terminal value and equity'!B12</f>
        <v>0.035</v>
      </c>
    </row>
    <row r="46">
      <c r="A46" s="0" t="inlineStr">
        <is>
          <t xml:space="preserve">Exit multiple, EV / EBITDA (x)</t>
        </is>
      </c>
      <c r="B46" s="4">
        <f>'WACC, terminal value and equity'!B13</f>
        <v>16</v>
      </c>
    </row>
    <row r="47">
      <c r="A47" s="0" t="inlineStr">
        <is>
          <t xml:space="preserve">Net debt</t>
        </is>
      </c>
      <c r="B47" s="4">
        <f>'WACC, terminal value and equity'!B14</f>
        <v>200</v>
      </c>
    </row>
    <row r="48">
      <c r="A48" s="0" t="inlineStr">
        <is>
          <t xml:space="preserve">Diluted shares (M)</t>
        </is>
      </c>
      <c r="B48" s="4">
        <f>'WACC, terminal value and equity'!B15</f>
        <v>60</v>
      </c>
    </row>
    <row r="49">
      <c r="A49" s="0" t="inlineStr">
        <is>
          <t xml:space="preserve">Current share price ($)</t>
        </is>
      </c>
      <c r="B49" s="4">
        <f>'WACC, terminal value and equity'!B16</f>
        <v>58</v>
      </c>
    </row>
    <row r="51">
      <c r="A51" s="1" t="inlineStr">
        <is>
          <t xml:space="preserve">Operating drivers by year (edit any cell)</t>
        </is>
      </c>
      <c r="B51" s="3" t="inlineStr">
        <is>
          <t xml:space="preserve">Inputs: edit the blue cells on the 'Operating drivers' sheet; this table follows them.</t>
        </is>
      </c>
    </row>
    <row r="52">
      <c r="A52" s="1" t="inlineStr">
        <is>
          <t xml:space="preserve">line</t>
        </is>
      </c>
      <c r="B52" s="1" t="inlineStr">
        <is>
          <t xml:space="preserve">FY2026</t>
        </is>
      </c>
      <c r="C52" s="1" t="inlineStr">
        <is>
          <t xml:space="preserve">FY2027</t>
        </is>
      </c>
      <c r="D52" s="1" t="inlineStr">
        <is>
          <t xml:space="preserve">FY2028</t>
        </is>
      </c>
      <c r="E52" s="1" t="inlineStr">
        <is>
          <t xml:space="preserve">FY2029</t>
        </is>
      </c>
      <c r="F52" s="1" t="inlineStr">
        <is>
          <t xml:space="preserve">FY2030</t>
        </is>
      </c>
    </row>
    <row r="53">
      <c r="A53" s="0" t="inlineStr">
        <is>
          <t xml:space="preserve">Revenue growth</t>
        </is>
      </c>
      <c r="B53" s="12">
        <f>'Operating drivers'!C2</f>
        <v>0.2</v>
      </c>
      <c r="C53" s="12">
        <f>'Operating drivers'!D2</f>
        <v>0.18</v>
      </c>
      <c r="D53" s="12">
        <f>'Operating drivers'!E2</f>
        <v>0.16</v>
      </c>
      <c r="E53" s="12">
        <f>'Operating drivers'!F2</f>
        <v>0.14</v>
      </c>
      <c r="F53" s="12">
        <f>'Operating drivers'!G2</f>
        <v>0.12</v>
      </c>
    </row>
    <row r="54">
      <c r="A54" s="0" t="inlineStr">
        <is>
          <t xml:space="preserve">EBITDA margin</t>
        </is>
      </c>
      <c r="B54" s="12">
        <f>'Operating drivers'!C3</f>
        <v>0.28</v>
      </c>
      <c r="C54" s="12">
        <f>'Operating drivers'!D3</f>
        <v>0.3</v>
      </c>
      <c r="D54" s="12">
        <f>'Operating drivers'!E3</f>
        <v>0.32</v>
      </c>
      <c r="E54" s="12">
        <f>'Operating drivers'!F3</f>
        <v>0.33</v>
      </c>
      <c r="F54" s="12">
        <f>'Operating drivers'!G3</f>
        <v>0.34</v>
      </c>
    </row>
    <row r="55">
      <c r="A55" s="0" t="inlineStr">
        <is>
          <t xml:space="preserve">D&amp;A, % of revenue</t>
        </is>
      </c>
      <c r="B55" s="12">
        <f>'Operating drivers'!C4</f>
        <v>0.035</v>
      </c>
      <c r="C55" s="12">
        <f>'Operating drivers'!D4</f>
        <v>0.035</v>
      </c>
      <c r="D55" s="12">
        <f>'Operating drivers'!E4</f>
        <v>0.035</v>
      </c>
      <c r="E55" s="12">
        <f>'Operating drivers'!F4</f>
        <v>0.035</v>
      </c>
      <c r="F55" s="12">
        <f>'Operating drivers'!G4</f>
        <v>0.035</v>
      </c>
    </row>
    <row r="56">
      <c r="A56" s="0" t="inlineStr">
        <is>
          <t xml:space="preserve">Capex, % of revenue</t>
        </is>
      </c>
      <c r="B56" s="12">
        <f>'Operating drivers'!C5</f>
        <v>0.045</v>
      </c>
      <c r="C56" s="12">
        <f>'Operating drivers'!D5</f>
        <v>0.045</v>
      </c>
      <c r="D56" s="12">
        <f>'Operating drivers'!E5</f>
        <v>0.045</v>
      </c>
      <c r="E56" s="12">
        <f>'Operating drivers'!F5</f>
        <v>0.045</v>
      </c>
      <c r="F56" s="12">
        <f>'Operating drivers'!G5</f>
        <v>0.045</v>
      </c>
    </row>
    <row r="57">
      <c r="A57" s="0" t="inlineStr">
        <is>
          <t xml:space="preserve">Net working capital, % of revenue change</t>
        </is>
      </c>
      <c r="B57" s="12">
        <f>'Operating drivers'!C6</f>
        <v>0.1</v>
      </c>
      <c r="C57" s="12">
        <f>'Operating drivers'!D6</f>
        <v>0.1</v>
      </c>
      <c r="D57" s="12">
        <f>'Operating drivers'!E6</f>
        <v>0.1</v>
      </c>
      <c r="E57" s="12">
        <f>'Operating drivers'!F6</f>
        <v>0.1</v>
      </c>
      <c r="F57" s="12">
        <f>'Operating drivers'!G6</f>
        <v>0.1</v>
      </c>
    </row>
    <row r="58">
      <c r="A58" s="0" t="inlineStr">
        <is>
          <t xml:space="preserve">Cash tax rate</t>
        </is>
      </c>
      <c r="B58" s="12">
        <f>'Operating drivers'!C7</f>
        <v>0.25</v>
      </c>
      <c r="C58" s="12">
        <f>'Operating drivers'!D7</f>
        <v>0.25</v>
      </c>
      <c r="D58" s="12">
        <f>'Operating drivers'!E7</f>
        <v>0.25</v>
      </c>
      <c r="E58" s="12">
        <f>'Operating drivers'!F7</f>
        <v>0.25</v>
      </c>
      <c r="F58" s="12">
        <f>'Operating drivers'!G7</f>
        <v>0.25</v>
      </c>
    </row>
    <row r="60">
      <c r="A60" s="1" t="inlineStr">
        <is>
          <t xml:space="preserve">Unlevered free cash flow and present value (FY2025 actual, FY2026 to FY2030 projected)</t>
        </is>
      </c>
    </row>
    <row r="61">
      <c r="A61" s="1" t="inlineStr">
        <is>
          <t xml:space="preserve">line</t>
        </is>
      </c>
      <c r="B61" s="1" t="inlineStr">
        <is>
          <t xml:space="preserve">FY2025</t>
        </is>
      </c>
      <c r="C61" s="1" t="inlineStr">
        <is>
          <t xml:space="preserve">FY2026</t>
        </is>
      </c>
      <c r="D61" s="1" t="inlineStr">
        <is>
          <t xml:space="preserve">FY2027</t>
        </is>
      </c>
      <c r="E61" s="1" t="inlineStr">
        <is>
          <t xml:space="preserve">FY2028</t>
        </is>
      </c>
      <c r="F61" s="1" t="inlineStr">
        <is>
          <t xml:space="preserve">FY2029</t>
        </is>
      </c>
      <c r="G61" s="1" t="inlineStr">
        <is>
          <t xml:space="preserve">FY2030</t>
        </is>
      </c>
    </row>
    <row r="62">
      <c r="A62" s="0" t="inlineStr">
        <is>
          <t xml:space="preserve">Revenue</t>
        </is>
      </c>
      <c r="B62" s="8">
        <f>'Unlevered free cash flow'!B2</f>
        <v>520</v>
      </c>
      <c r="C62" s="8">
        <f>'Unlevered free cash flow'!C2</f>
        <v>624</v>
      </c>
      <c r="D62" s="8">
        <f>'Unlevered free cash flow'!D2</f>
        <v>736.3199999999999</v>
      </c>
      <c r="E62" s="8">
        <f>'Unlevered free cash flow'!E2</f>
        <v>854.1311999999999</v>
      </c>
      <c r="F62" s="8">
        <f>'Unlevered free cash flow'!F2</f>
        <v>973.709568</v>
      </c>
      <c r="G62" s="8">
        <f>'Unlevered free cash flow'!G2</f>
        <v>1090.55471616</v>
      </c>
    </row>
    <row r="63">
      <c r="A63" s="0" t="inlineStr">
        <is>
          <t xml:space="preserve">Revenue growth</t>
        </is>
      </c>
      <c r="B63" s="12">
        <f>'Unlevered free cash flow'!B3</f>
      </c>
      <c r="C63" s="12">
        <f>'Unlevered free cash flow'!C3</f>
        <v>0.19999999999999996</v>
      </c>
      <c r="D63" s="12">
        <f>'Unlevered free cash flow'!D3</f>
        <v>0.17999999999999994</v>
      </c>
      <c r="E63" s="12">
        <f>'Unlevered free cash flow'!E3</f>
        <v>0.15999999999999992</v>
      </c>
      <c r="F63" s="12">
        <f>'Unlevered free cash flow'!F3</f>
        <v>0.14000000000000012</v>
      </c>
      <c r="G63" s="12">
        <f>'Unlevered free cash flow'!G3</f>
        <v>0.1200000000000001</v>
      </c>
    </row>
    <row r="64">
      <c r="A64" s="0" t="inlineStr">
        <is>
          <t xml:space="preserve">EBITDA</t>
        </is>
      </c>
      <c r="B64" s="8">
        <f>'Unlevered free cash flow'!B4</f>
        <v>140</v>
      </c>
      <c r="C64" s="8">
        <f>'Unlevered free cash flow'!C4</f>
        <v>174.72000000000003</v>
      </c>
      <c r="D64" s="8">
        <f>'Unlevered free cash flow'!D4</f>
        <v>220.896</v>
      </c>
      <c r="E64" s="8">
        <f>'Unlevered free cash flow'!E4</f>
        <v>273.321984</v>
      </c>
      <c r="F64" s="8">
        <f>'Unlevered free cash flow'!F4</f>
        <v>321.32415744</v>
      </c>
      <c r="G64" s="8">
        <f>'Unlevered free cash flow'!G4</f>
        <v>370.78860349440004</v>
      </c>
    </row>
    <row r="65">
      <c r="A65" s="0" t="inlineStr">
        <is>
          <t xml:space="preserve">EBITDA margin</t>
        </is>
      </c>
      <c r="B65" s="12">
        <f>'Unlevered free cash flow'!B5</f>
        <v>0.2692307692307692</v>
      </c>
      <c r="C65" s="12">
        <f>'Unlevered free cash flow'!C5</f>
        <v>0.28</v>
      </c>
      <c r="D65" s="12">
        <f>'Unlevered free cash flow'!D5</f>
        <v>0.3</v>
      </c>
      <c r="E65" s="12">
        <f>'Unlevered free cash flow'!E5</f>
        <v>0.32</v>
      </c>
      <c r="F65" s="12">
        <f>'Unlevered free cash flow'!F5</f>
        <v>0.33</v>
      </c>
      <c r="G65" s="12">
        <f>'Unlevered free cash flow'!G5</f>
        <v>0.34</v>
      </c>
    </row>
    <row r="66">
      <c r="A66" s="0" t="inlineStr">
        <is>
          <t xml:space="preserve">Less: D&amp;A</t>
        </is>
      </c>
      <c r="B66" s="8">
        <f>'Unlevered free cash flow'!B6</f>
        <v>18</v>
      </c>
      <c r="C66" s="8">
        <f>'Unlevered free cash flow'!C6</f>
        <v>21.840000000000003</v>
      </c>
      <c r="D66" s="8">
        <f>'Unlevered free cash flow'!D6</f>
        <v>25.7712</v>
      </c>
      <c r="E66" s="8">
        <f>'Unlevered free cash flow'!E6</f>
        <v>29.894592</v>
      </c>
      <c r="F66" s="8">
        <f>'Unlevered free cash flow'!F6</f>
        <v>34.07983488</v>
      </c>
      <c r="G66" s="8">
        <f>'Unlevered free cash flow'!G6</f>
        <v>38.169415065600006</v>
      </c>
    </row>
    <row r="67">
      <c r="A67" s="0" t="inlineStr">
        <is>
          <t xml:space="preserve">EBIT</t>
        </is>
      </c>
      <c r="B67" s="8">
        <f>'Unlevered free cash flow'!B7</f>
        <v>122</v>
      </c>
      <c r="C67" s="8">
        <f>'Unlevered free cash flow'!C7</f>
        <v>152.88000000000002</v>
      </c>
      <c r="D67" s="8">
        <f>'Unlevered free cash flow'!D7</f>
        <v>195.1248</v>
      </c>
      <c r="E67" s="8">
        <f>'Unlevered free cash flow'!E7</f>
        <v>243.427392</v>
      </c>
      <c r="F67" s="8">
        <f>'Unlevered free cash flow'!F7</f>
        <v>287.24432256</v>
      </c>
      <c r="G67" s="8">
        <f>'Unlevered free cash flow'!G7</f>
        <v>332.61918842880004</v>
      </c>
    </row>
    <row r="68">
      <c r="A68" s="0" t="inlineStr">
        <is>
          <t xml:space="preserve">Less: cash taxes</t>
        </is>
      </c>
      <c r="B68" s="8">
        <f>'Unlevered free cash flow'!B8</f>
      </c>
      <c r="C68" s="8">
        <f>'Unlevered free cash flow'!C8</f>
        <v>38.220000000000006</v>
      </c>
      <c r="D68" s="8">
        <f>'Unlevered free cash flow'!D8</f>
        <v>48.7812</v>
      </c>
      <c r="E68" s="8">
        <f>'Unlevered free cash flow'!E8</f>
        <v>60.856848</v>
      </c>
      <c r="F68" s="8">
        <f>'Unlevered free cash flow'!F8</f>
        <v>71.81108064</v>
      </c>
      <c r="G68" s="8">
        <f>'Unlevered free cash flow'!G8</f>
        <v>83.15479710720001</v>
      </c>
    </row>
    <row r="69">
      <c r="A69" s="0" t="inlineStr">
        <is>
          <t xml:space="preserve">NOPAT</t>
        </is>
      </c>
      <c r="B69" s="8">
        <f>'Unlevered free cash flow'!B9</f>
      </c>
      <c r="C69" s="8">
        <f>'Unlevered free cash flow'!C9</f>
        <v>114.66000000000003</v>
      </c>
      <c r="D69" s="8">
        <f>'Unlevered free cash flow'!D9</f>
        <v>146.34359999999998</v>
      </c>
      <c r="E69" s="8">
        <f>'Unlevered free cash flow'!E9</f>
        <v>182.57054399999998</v>
      </c>
      <c r="F69" s="8">
        <f>'Unlevered free cash flow'!F9</f>
        <v>215.43324192</v>
      </c>
      <c r="G69" s="8">
        <f>'Unlevered free cash flow'!G9</f>
        <v>249.46439132160003</v>
      </c>
    </row>
    <row r="70">
      <c r="A70" s="0" t="inlineStr">
        <is>
          <t xml:space="preserve">Less: capex</t>
        </is>
      </c>
      <c r="B70" s="8">
        <f>'Unlevered free cash flow'!B10</f>
        <v>26</v>
      </c>
      <c r="C70" s="8">
        <f>'Unlevered free cash flow'!C10</f>
        <v>28.08</v>
      </c>
      <c r="D70" s="8">
        <f>'Unlevered free cash flow'!D10</f>
        <v>33.1344</v>
      </c>
      <c r="E70" s="8">
        <f>'Unlevered free cash flow'!E10</f>
        <v>38.435903999999994</v>
      </c>
      <c r="F70" s="8">
        <f>'Unlevered free cash flow'!F10</f>
        <v>43.816930559999996</v>
      </c>
      <c r="G70" s="8">
        <f>'Unlevered free cash flow'!G10</f>
        <v>49.0749622272</v>
      </c>
    </row>
    <row r="71">
      <c r="A71" s="0" t="inlineStr">
        <is>
          <t xml:space="preserve">Less: increase in net working capital</t>
        </is>
      </c>
      <c r="B71" s="8">
        <f>'Unlevered free cash flow'!B11</f>
        <v>9</v>
      </c>
      <c r="C71" s="8">
        <f>'Unlevered free cash flow'!C11</f>
        <v>10.4</v>
      </c>
      <c r="D71" s="8">
        <f>'Unlevered free cash flow'!D11</f>
        <v>11.231999999999994</v>
      </c>
      <c r="E71" s="8">
        <f>'Unlevered free cash flow'!E11</f>
        <v>11.78112</v>
      </c>
      <c r="F71" s="8">
        <f>'Unlevered free cash flow'!F11</f>
        <v>11.957836800000008</v>
      </c>
      <c r="G71" s="8">
        <f>'Unlevered free cash flow'!G11</f>
        <v>11.684514816000002</v>
      </c>
    </row>
    <row r="72">
      <c r="A72" s="0" t="inlineStr">
        <is>
          <t xml:space="preserve">Unlevered free cash flow</t>
        </is>
      </c>
      <c r="B72" s="8">
        <f>'Unlevered free cash flow'!B12</f>
      </c>
      <c r="C72" s="8">
        <f>'Unlevered free cash flow'!C12</f>
        <v>98.02000000000002</v>
      </c>
      <c r="D72" s="8">
        <f>'Unlevered free cash flow'!D12</f>
        <v>127.74839999999998</v>
      </c>
      <c r="E72" s="8">
        <f>'Unlevered free cash flow'!E12</f>
        <v>162.248112</v>
      </c>
      <c r="F72" s="8">
        <f>'Unlevered free cash flow'!F12</f>
        <v>193.73830944</v>
      </c>
      <c r="G72" s="8">
        <f>'Unlevered free cash flow'!G12</f>
        <v>226.87432934400005</v>
      </c>
    </row>
    <row r="73">
      <c r="A73" s="0" t="inlineStr">
        <is>
          <t xml:space="preserve">Year (from valuation date)</t>
        </is>
      </c>
      <c r="B73" s="4">
        <f>'Unlevered free cash flow'!B13</f>
        <v>0</v>
      </c>
      <c r="C73" s="4">
        <f>'Unlevered free cash flow'!C13</f>
        <v>1</v>
      </c>
      <c r="D73" s="4">
        <f>'Unlevered free cash flow'!D13</f>
        <v>2</v>
      </c>
      <c r="E73" s="4">
        <f>'Unlevered free cash flow'!E13</f>
        <v>3</v>
      </c>
      <c r="F73" s="4">
        <f>'Unlevered free cash flow'!F13</f>
        <v>4</v>
      </c>
      <c r="G73" s="4">
        <f>'Unlevered free cash flow'!G13</f>
        <v>5</v>
      </c>
    </row>
    <row r="74">
      <c r="A74" s="0" t="inlineStr">
        <is>
          <t xml:space="preserve">Discount factor (mid-year)</t>
        </is>
      </c>
      <c r="B74" s="8">
        <f>'Unlevered free cash flow'!B14</f>
      </c>
      <c r="C74" s="8">
        <f>'Unlevered free cash flow'!C14</f>
        <v>0.9596438462941194</v>
      </c>
      <c r="D74" s="8">
        <f>'Unlevered free cash flow'!D14</f>
        <v>0.8837516715037362</v>
      </c>
      <c r="E74" s="8">
        <f>'Unlevered free cash flow'!E14</f>
        <v>0.813861329806595</v>
      </c>
      <c r="F74" s="8">
        <f>'Unlevered free cash flow'!F14</f>
        <v>0.7494981741053022</v>
      </c>
      <c r="G74" s="8">
        <f>'Unlevered free cash flow'!G14</f>
        <v>0.6902250941455528</v>
      </c>
    </row>
    <row r="75">
      <c r="A75" s="0" t="inlineStr">
        <is>
          <t xml:space="preserve">PV of unlevered free cash flow</t>
        </is>
      </c>
      <c r="B75" s="8">
        <f>'Unlevered free cash flow'!B15</f>
      </c>
      <c r="C75" s="8">
        <f>'Unlevered free cash flow'!C15</f>
        <v>94.06428981374961</v>
      </c>
      <c r="D75" s="8">
        <f>'Unlevered free cash flow'!D15</f>
        <v>112.89786203192787</v>
      </c>
      <c r="E75" s="8">
        <f>'Unlevered free cash flow'!E15</f>
        <v>132.04746419092936</v>
      </c>
      <c r="F75" s="8">
        <f>'Unlevered free cash flow'!F15</f>
        <v>145.206509179528</v>
      </c>
      <c r="G75" s="8">
        <f>'Unlevered free cash flow'!G15</f>
        <v>156.5943553306716</v>
      </c>
    </row>
    <row r="77">
      <c r="A77" s="1" t="inlineStr">
        <is>
          <t xml:space="preserve">Revenue, EBITDA and unlevered free cash flow</t>
        </is>
      </c>
    </row>
    <row r="78">
      <c r="A78" s="1" t="inlineStr">
        <is>
          <t xml:space="preserve">line</t>
        </is>
      </c>
      <c r="B78" s="1" t="inlineStr">
        <is>
          <t xml:space="preserve">FY2025</t>
        </is>
      </c>
      <c r="C78" s="1" t="inlineStr">
        <is>
          <t xml:space="preserve">FY2026</t>
        </is>
      </c>
      <c r="D78" s="1" t="inlineStr">
        <is>
          <t xml:space="preserve">FY2027</t>
        </is>
      </c>
      <c r="E78" s="1" t="inlineStr">
        <is>
          <t xml:space="preserve">FY2028</t>
        </is>
      </c>
      <c r="F78" s="1" t="inlineStr">
        <is>
          <t xml:space="preserve">FY2029</t>
        </is>
      </c>
      <c r="G78" s="1" t="inlineStr">
        <is>
          <t xml:space="preserve">FY2030</t>
        </is>
      </c>
    </row>
    <row r="79">
      <c r="A79" s="0" t="inlineStr">
        <is>
          <t xml:space="preserve">Revenue</t>
        </is>
      </c>
      <c r="B79" s="8">
        <f>'Unlevered free cash flow'!B2</f>
        <v>520</v>
      </c>
      <c r="C79" s="8">
        <f>'Unlevered free cash flow'!C2</f>
        <v>624</v>
      </c>
      <c r="D79" s="8">
        <f>'Unlevered free cash flow'!D2</f>
        <v>736.3199999999999</v>
      </c>
      <c r="E79" s="8">
        <f>'Unlevered free cash flow'!E2</f>
        <v>854.1311999999999</v>
      </c>
      <c r="F79" s="8">
        <f>'Unlevered free cash flow'!F2</f>
        <v>973.709568</v>
      </c>
      <c r="G79" s="8">
        <f>'Unlevered free cash flow'!G2</f>
        <v>1090.55471616</v>
      </c>
    </row>
    <row r="80">
      <c r="A80" s="0" t="inlineStr">
        <is>
          <t xml:space="preserve">EBITDA</t>
        </is>
      </c>
      <c r="B80" s="8">
        <f>'Unlevered free cash flow'!B4</f>
        <v>140</v>
      </c>
      <c r="C80" s="8">
        <f>'Unlevered free cash flow'!C4</f>
        <v>174.72000000000003</v>
      </c>
      <c r="D80" s="8">
        <f>'Unlevered free cash flow'!D4</f>
        <v>220.896</v>
      </c>
      <c r="E80" s="8">
        <f>'Unlevered free cash flow'!E4</f>
        <v>273.321984</v>
      </c>
      <c r="F80" s="8">
        <f>'Unlevered free cash flow'!F4</f>
        <v>321.32415744</v>
      </c>
      <c r="G80" s="8">
        <f>'Unlevered free cash flow'!G4</f>
        <v>370.78860349440004</v>
      </c>
    </row>
    <row r="81">
      <c r="A81" s="0" t="inlineStr">
        <is>
          <t xml:space="preserve">Unlevered free cash flow</t>
        </is>
      </c>
      <c r="B81" s="8">
        <f>'Unlevered free cash flow'!B12</f>
      </c>
      <c r="C81" s="8">
        <f>'Unlevered free cash flow'!C12</f>
        <v>98.02000000000002</v>
      </c>
      <c r="D81" s="8">
        <f>'Unlevered free cash flow'!D12</f>
        <v>127.74839999999998</v>
      </c>
      <c r="E81" s="8">
        <f>'Unlevered free cash flow'!E12</f>
        <v>162.248112</v>
      </c>
      <c r="F81" s="8">
        <f>'Unlevered free cash flow'!F12</f>
        <v>193.73830944</v>
      </c>
      <c r="G81" s="8">
        <f>'Unlevered free cash flow'!G12</f>
        <v>226.87432934400005</v>
      </c>
    </row>
    <row r="100">
      <c r="A100" s="1" t="inlineStr">
        <is>
          <t xml:space="preserve">Growth and margin</t>
        </is>
      </c>
    </row>
    <row r="101">
      <c r="A101" s="1" t="inlineStr">
        <is>
          <t xml:space="preserve">line</t>
        </is>
      </c>
      <c r="B101" s="1" t="inlineStr">
        <is>
          <t xml:space="preserve">FY2026</t>
        </is>
      </c>
      <c r="C101" s="1" t="inlineStr">
        <is>
          <t xml:space="preserve">FY2027</t>
        </is>
      </c>
      <c r="D101" s="1" t="inlineStr">
        <is>
          <t xml:space="preserve">FY2028</t>
        </is>
      </c>
      <c r="E101" s="1" t="inlineStr">
        <is>
          <t xml:space="preserve">FY2029</t>
        </is>
      </c>
      <c r="F101" s="1" t="inlineStr">
        <is>
          <t xml:space="preserve">FY2030</t>
        </is>
      </c>
    </row>
    <row r="102">
      <c r="A102" s="0" t="inlineStr">
        <is>
          <t xml:space="preserve">Revenue growth</t>
        </is>
      </c>
      <c r="B102" s="12">
        <f>'Unlevered free cash flow'!C3</f>
        <v>0.19999999999999996</v>
      </c>
      <c r="C102" s="12">
        <f>'Unlevered free cash flow'!D3</f>
        <v>0.17999999999999994</v>
      </c>
      <c r="D102" s="12">
        <f>'Unlevered free cash flow'!E3</f>
        <v>0.15999999999999992</v>
      </c>
      <c r="E102" s="12">
        <f>'Unlevered free cash flow'!F3</f>
        <v>0.14000000000000012</v>
      </c>
      <c r="F102" s="12">
        <f>'Unlevered free cash flow'!G3</f>
        <v>0.1200000000000001</v>
      </c>
    </row>
    <row r="103">
      <c r="A103" s="0" t="inlineStr">
        <is>
          <t xml:space="preserve">EBITDA margin</t>
        </is>
      </c>
      <c r="B103" s="12">
        <f>'Unlevered free cash flow'!C5</f>
        <v>0.28</v>
      </c>
      <c r="C103" s="12">
        <f>'Unlevered free cash flow'!D5</f>
        <v>0.3</v>
      </c>
      <c r="D103" s="12">
        <f>'Unlevered free cash flow'!E5</f>
        <v>0.32</v>
      </c>
      <c r="E103" s="12">
        <f>'Unlevered free cash flow'!F5</f>
        <v>0.33</v>
      </c>
      <c r="F103" s="12">
        <f>'Unlevered free cash flow'!G5</f>
        <v>0.34</v>
      </c>
    </row>
    <row r="122">
      <c r="A122" s="1" t="inlineStr">
        <is>
          <t xml:space="preserve">Price per share ($): WACC × terminal growth</t>
        </is>
      </c>
    </row>
    <row r="123">
      <c r="A123" s="1" t="inlineStr">
        <is>
          <t xml:space="preserve">wacc_case</t>
        </is>
      </c>
      <c r="B123" s="1" t="inlineStr">
        <is>
          <t xml:space="preserve">g −100 bp</t>
        </is>
      </c>
      <c r="C123" s="1" t="inlineStr">
        <is>
          <t xml:space="preserve">−50 bp</t>
        </is>
      </c>
      <c r="D123" s="1" t="inlineStr">
        <is>
          <t xml:space="preserve">Base growth</t>
        </is>
      </c>
      <c r="E123" s="1" t="inlineStr">
        <is>
          <t xml:space="preserve">+50 bp</t>
        </is>
      </c>
      <c r="F123" s="1" t="inlineStr">
        <is>
          <t xml:space="preserve">+100 bp</t>
        </is>
      </c>
    </row>
    <row r="124">
      <c r="A124" s="0" t="inlineStr">
        <is>
          <t xml:space="preserve">WACC −100 bp</t>
        </is>
      </c>
      <c r="B124" s="8">
        <f>'Price per share WACC × terminal'!C2</f>
        <v>60.472440083278556</v>
      </c>
      <c r="C124" s="8">
        <f>'Price per share WACC × terminal'!D2</f>
        <v>66.51855432778802</v>
      </c>
      <c r="D124" s="8">
        <f>'Price per share WACC × terminal'!E2</f>
        <v>74.04384025291141</v>
      </c>
      <c r="E124" s="8">
        <f>'Price per share WACC × terminal'!F2</f>
        <v>83.66676685402737</v>
      </c>
      <c r="F124" s="8">
        <f>'Price per share WACC × terminal'!G2</f>
        <v>96.40643081582871</v>
      </c>
    </row>
    <row r="125">
      <c r="A125" s="0" t="inlineStr">
        <is>
          <t xml:space="preserve">−50 bp</t>
        </is>
      </c>
      <c r="B125" s="8">
        <f>'Price per share WACC × terminal'!C3</f>
        <v>54.50113881856645</v>
      </c>
      <c r="C125" s="8">
        <f>'Price per share WACC × terminal'!D3</f>
        <v>59.37395766522366</v>
      </c>
      <c r="D125" s="8">
        <f>'Price per share WACC × terminal'!E3</f>
        <v>65.30897135583884</v>
      </c>
      <c r="E125" s="8">
        <f>'Price per share WACC × terminal'!F3</f>
        <v>72.69597616342408</v>
      </c>
      <c r="F125" s="8">
        <f>'Price per share WACC × terminal'!G3</f>
        <v>82.14207638775785</v>
      </c>
    </row>
    <row r="126">
      <c r="A126" s="0" t="inlineStr">
        <is>
          <t xml:space="preserve">Base WACC</t>
        </is>
      </c>
      <c r="B126" s="8">
        <f>'Price per share WACC × terminal'!C4</f>
        <v>49.518416891772056</v>
      </c>
      <c r="C126" s="8">
        <f>'Price per share WACC × terminal'!D4</f>
        <v>53.51628317427317</v>
      </c>
      <c r="D126" s="8">
        <f>'Price per share WACC × terminal'!E4</f>
        <v>58.29997083908406</v>
      </c>
      <c r="E126" s="8">
        <f>'Price per share WACC × terminal'!F4</f>
        <v>64.12642420739597</v>
      </c>
      <c r="F126" s="8">
        <f>'Price per share WACC × terminal'!G4</f>
        <v>71.37830959242031</v>
      </c>
    </row>
    <row r="127">
      <c r="A127" s="0" t="inlineStr">
        <is>
          <t xml:space="preserve">+50 bp</t>
        </is>
      </c>
      <c r="B127" s="8">
        <f>'Price per share WACC × terminal'!C5</f>
        <v>45.29892850275264</v>
      </c>
      <c r="C127" s="8">
        <f>'Price per share WACC × terminal'!D5</f>
        <v>48.62816428848228</v>
      </c>
      <c r="D127" s="8">
        <f>'Price per share WACC × terminal'!E5</f>
        <v>52.55323645644542</v>
      </c>
      <c r="E127" s="8">
        <f>'Price per share WACC × terminal'!F5</f>
        <v>57.249821581256334</v>
      </c>
      <c r="F127" s="8">
        <f>'Price per share WACC × terminal'!G5</f>
        <v>62.970185479868036</v>
      </c>
    </row>
    <row r="128">
      <c r="A128" s="0" t="inlineStr">
        <is>
          <t xml:space="preserve">+100 bp</t>
        </is>
      </c>
      <c r="B128" s="8">
        <f>'Price per share WACC × terminal'!C6</f>
        <v>41.68092633513459</v>
      </c>
      <c r="C128" s="8">
        <f>'Price per share WACC × terminal'!D6</f>
        <v>44.48859809735132</v>
      </c>
      <c r="D128" s="8">
        <f>'Price per share WACC × terminal'!E6</f>
        <v>47.757489040219646</v>
      </c>
      <c r="E128" s="8">
        <f>'Price per share WACC × terminal'!F6</f>
        <v>51.61141639344473</v>
      </c>
      <c r="F128" s="8">
        <f>'Price per share WACC × terminal'!G6</f>
        <v>56.222872464748455</v>
      </c>
    </row>
    <row r="130">
      <c r="A130" s="1" t="inlineStr">
        <is>
          <t xml:space="preserve">Price per share ($): WACC × exit multiple</t>
        </is>
      </c>
    </row>
    <row r="131">
      <c r="A131" s="1" t="inlineStr">
        <is>
          <t xml:space="preserve">wacc_case</t>
        </is>
      </c>
      <c r="B131" s="1" t="inlineStr">
        <is>
          <t xml:space="preserve">Multiple −2.0x</t>
        </is>
      </c>
      <c r="C131" s="1" t="inlineStr">
        <is>
          <t xml:space="preserve">−1.0x</t>
        </is>
      </c>
      <c r="D131" s="1" t="inlineStr">
        <is>
          <t xml:space="preserve">Base multiple</t>
        </is>
      </c>
      <c r="E131" s="1" t="inlineStr">
        <is>
          <t xml:space="preserve">+1.0x</t>
        </is>
      </c>
      <c r="F131" s="1" t="inlineStr">
        <is>
          <t xml:space="preserve">+2.0x</t>
        </is>
      </c>
    </row>
    <row r="132">
      <c r="A132" s="0" t="inlineStr">
        <is>
          <t xml:space="preserve">WACC −100 bp</t>
        </is>
      </c>
      <c r="B132" s="8">
        <f>'Price per share WACC × exit mul'!C2</f>
        <v>67.64223963996511</v>
      </c>
      <c r="C132" s="8">
        <f>'Price per share WACC × exit mul'!D2</f>
        <v>71.92936365837265</v>
      </c>
      <c r="D132" s="8">
        <f>'Price per share WACC × exit mul'!E2</f>
        <v>76.21648767678016</v>
      </c>
      <c r="E132" s="8">
        <f>'Price per share WACC × exit mul'!F2</f>
        <v>80.50361169518769</v>
      </c>
      <c r="F132" s="8">
        <f>'Price per share WACC × exit mul'!G2</f>
        <v>84.79073571359523</v>
      </c>
    </row>
    <row r="133">
      <c r="A133" s="0" t="inlineStr">
        <is>
          <t xml:space="preserve">−50 bp</t>
        </is>
      </c>
      <c r="B133" s="8">
        <f>'Price per share WACC × exit mul'!C3</f>
        <v>66.12755454978864</v>
      </c>
      <c r="C133" s="8">
        <f>'Price per share WACC × exit mul'!D3</f>
        <v>70.31643308155623</v>
      </c>
      <c r="D133" s="8">
        <f>'Price per share WACC × exit mul'!E3</f>
        <v>74.50531161332383</v>
      </c>
      <c r="E133" s="8">
        <f>'Price per share WACC × exit mul'!F3</f>
        <v>78.69419014509143</v>
      </c>
      <c r="F133" s="8">
        <f>'Price per share WACC × exit mul'!G3</f>
        <v>82.88306867685901</v>
      </c>
    </row>
    <row r="134">
      <c r="A134" s="0" t="inlineStr">
        <is>
          <t xml:space="preserve">Base WACC</t>
        </is>
      </c>
      <c r="B134" s="8">
        <f>'Price per share WACC × exit mul'!C4</f>
        <v>64.6533552322668</v>
      </c>
      <c r="C134" s="8">
        <f>'Price per share WACC × exit mul'!D4</f>
        <v>68.74667765296822</v>
      </c>
      <c r="D134" s="8">
        <f>'Price per share WACC × exit mul'!E4</f>
        <v>72.84000007366966</v>
      </c>
      <c r="E134" s="8">
        <f>'Price per share WACC × exit mul'!F4</f>
        <v>76.9333224943711</v>
      </c>
      <c r="F134" s="8">
        <f>'Price per share WACC × exit mul'!G4</f>
        <v>81.02664491507251</v>
      </c>
    </row>
    <row r="135">
      <c r="A135" s="0" t="inlineStr">
        <is>
          <t xml:space="preserve">+50 bp</t>
        </is>
      </c>
      <c r="B135" s="8">
        <f>'Price per share WACC × exit mul'!C5</f>
        <v>63.218370926747575</v>
      </c>
      <c r="C135" s="8">
        <f>'Price per share WACC × exit mul'!D5</f>
        <v>67.21874111370859</v>
      </c>
      <c r="D135" s="8">
        <f>'Price per share WACC × exit mul'!E5</f>
        <v>71.21911130066961</v>
      </c>
      <c r="E135" s="8">
        <f>'Price per share WACC × exit mul'!F5</f>
        <v>75.21948148763063</v>
      </c>
      <c r="F135" s="8">
        <f>'Price per share WACC × exit mul'!G5</f>
        <v>79.21985167459164</v>
      </c>
    </row>
    <row r="136">
      <c r="A136" s="0" t="inlineStr">
        <is>
          <t xml:space="preserve">+100 bp</t>
        </is>
      </c>
      <c r="B136" s="8">
        <f>'Price per share WACC × exit mul'!C6</f>
        <v>61.82137646258833</v>
      </c>
      <c r="C136" s="8">
        <f>'Price per share WACC × exit mul'!D6</f>
        <v>65.73131588720393</v>
      </c>
      <c r="D136" s="8">
        <f>'Price per share WACC × exit mul'!E6</f>
        <v>69.64125531181953</v>
      </c>
      <c r="E136" s="8">
        <f>'Price per share WACC × exit mul'!F6</f>
        <v>73.55119473643514</v>
      </c>
      <c r="F136" s="8">
        <f>'Price per share WACC × exit mul'!G6</f>
        <v>77.46113416105074</v>
      </c>
    </row>
    <row r="138">
      <c r="A138" s="1" t="inlineStr">
        <is>
          <t xml:space="preserve">Enterprise value: forecast cash flows and terminal value</t>
        </is>
      </c>
    </row>
    <row r="139">
      <c r="A139" s="1" t="inlineStr">
        <is>
          <t xml:space="preserve">line</t>
        </is>
      </c>
      <c r="B139" s="1" t="inlineStr">
        <is>
          <t xml:space="preserve">Perpetuity growth</t>
        </is>
      </c>
      <c r="C139" s="1" t="inlineStr">
        <is>
          <t xml:space="preserve">Exit multiple</t>
        </is>
      </c>
    </row>
    <row r="140">
      <c r="A140" s="0" t="inlineStr">
        <is>
          <t xml:space="preserve">PV of forecast cash flows</t>
        </is>
      </c>
      <c r="B140" s="8">
        <f>'Valuation by terminal value met'!B2</f>
        <v>640.8104805468065</v>
      </c>
      <c r="C140" s="8">
        <f>'Valuation by terminal value met'!C2</f>
        <v>640.8104805468065</v>
      </c>
    </row>
    <row r="141">
      <c r="A141" s="0" t="inlineStr">
        <is>
          <t xml:space="preserve">PV of terminal value</t>
        </is>
      </c>
      <c r="B141" s="8">
        <f>'Valuation by terminal value met'!B4</f>
        <v>3057.1877697982372</v>
      </c>
      <c r="C141" s="8">
        <f>'Valuation by terminal value met'!C4</f>
        <v>3929.589523873373</v>
      </c>
    </row>
    <row r="160">
      <c r="A160" s="1" t="inlineStr">
        <is>
          <t xml:space="preserve">Price per share across WACC and terminal growth</t>
        </is>
      </c>
    </row>
    <row r="161">
      <c r="A161" s="1" t="inlineStr">
        <is>
          <t xml:space="preserve">growth_case</t>
        </is>
      </c>
      <c r="B161" s="1" t="inlineStr">
        <is>
          <t xml:space="preserve">WACC −100 bp</t>
        </is>
      </c>
      <c r="C161" s="1" t="inlineStr">
        <is>
          <t xml:space="preserve">−50 bp</t>
        </is>
      </c>
      <c r="D161" s="1" t="inlineStr">
        <is>
          <t xml:space="preserve">Base WACC</t>
        </is>
      </c>
      <c r="E161" s="1" t="inlineStr">
        <is>
          <t xml:space="preserve">+50 bp</t>
        </is>
      </c>
      <c r="F161" s="1" t="inlineStr">
        <is>
          <t xml:space="preserve">+100 bp</t>
        </is>
      </c>
    </row>
    <row r="162">
      <c r="A162" s="0" t="inlineStr">
        <is>
          <t xml:space="preserve">g −100 bp</t>
        </is>
      </c>
      <c r="B162" s="8">
        <f>'Price per share WACC × terminal'!C2</f>
        <v>60.472440083278556</v>
      </c>
      <c r="C162" s="8">
        <f>'Price per share WACC × terminal'!C3</f>
        <v>54.50113881856645</v>
      </c>
      <c r="D162" s="8">
        <f>'Price per share WACC × terminal'!C4</f>
        <v>49.518416891772056</v>
      </c>
      <c r="E162" s="8">
        <f>'Price per share WACC × terminal'!C5</f>
        <v>45.29892850275264</v>
      </c>
      <c r="F162" s="8">
        <f>'Price per share WACC × terminal'!C6</f>
        <v>41.68092633513459</v>
      </c>
    </row>
    <row r="163">
      <c r="A163" s="0" t="inlineStr">
        <is>
          <t xml:space="preserve">−50 bp</t>
        </is>
      </c>
      <c r="B163" s="8">
        <f>'Price per share WACC × terminal'!D2</f>
        <v>66.51855432778802</v>
      </c>
      <c r="C163" s="8">
        <f>'Price per share WACC × terminal'!D3</f>
        <v>59.37395766522366</v>
      </c>
      <c r="D163" s="8">
        <f>'Price per share WACC × terminal'!D4</f>
        <v>53.51628317427317</v>
      </c>
      <c r="E163" s="8">
        <f>'Price per share WACC × terminal'!D5</f>
        <v>48.62816428848228</v>
      </c>
      <c r="F163" s="8">
        <f>'Price per share WACC × terminal'!D6</f>
        <v>44.48859809735132</v>
      </c>
    </row>
    <row r="164">
      <c r="A164" s="0" t="inlineStr">
        <is>
          <t xml:space="preserve">Base growth</t>
        </is>
      </c>
      <c r="B164" s="8">
        <f>'Price per share WACC × terminal'!E2</f>
        <v>74.04384025291141</v>
      </c>
      <c r="C164" s="8">
        <f>'Price per share WACC × terminal'!E3</f>
        <v>65.30897135583884</v>
      </c>
      <c r="D164" s="8">
        <f>'Price per share WACC × terminal'!E4</f>
        <v>58.29997083908406</v>
      </c>
      <c r="E164" s="8">
        <f>'Price per share WACC × terminal'!E5</f>
        <v>52.55323645644542</v>
      </c>
      <c r="F164" s="8">
        <f>'Price per share WACC × terminal'!E6</f>
        <v>47.757489040219646</v>
      </c>
    </row>
    <row r="165">
      <c r="A165" s="0" t="inlineStr">
        <is>
          <t xml:space="preserve">+50 bp</t>
        </is>
      </c>
      <c r="B165" s="8">
        <f>'Price per share WACC × terminal'!F2</f>
        <v>83.66676685402737</v>
      </c>
      <c r="C165" s="8">
        <f>'Price per share WACC × terminal'!F3</f>
        <v>72.69597616342408</v>
      </c>
      <c r="D165" s="8">
        <f>'Price per share WACC × terminal'!F4</f>
        <v>64.12642420739597</v>
      </c>
      <c r="E165" s="8">
        <f>'Price per share WACC × terminal'!F5</f>
        <v>57.249821581256334</v>
      </c>
      <c r="F165" s="8">
        <f>'Price per share WACC × terminal'!F6</f>
        <v>51.61141639344473</v>
      </c>
    </row>
    <row r="166">
      <c r="A166" s="0" t="inlineStr">
        <is>
          <t xml:space="preserve">+100 bp</t>
        </is>
      </c>
      <c r="B166" s="8">
        <f>'Price per share WACC × terminal'!G2</f>
        <v>96.40643081582871</v>
      </c>
      <c r="C166" s="8">
        <f>'Price per share WACC × terminal'!G3</f>
        <v>82.14207638775785</v>
      </c>
      <c r="D166" s="8">
        <f>'Price per share WACC × terminal'!G4</f>
        <v>71.37830959242031</v>
      </c>
      <c r="E166" s="8">
        <f>'Price per share WACC × terminal'!G5</f>
        <v>62.970185479868036</v>
      </c>
      <c r="F166" s="8">
        <f>'Price per share WACC × terminal'!G6</f>
        <v>56.222872464748455</v>
      </c>
    </row>
    <row r="185">
      <c r="A185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1" t="inlineStr">
        <is>
          <t xml:space="preserve">line</t>
        </is>
      </c>
      <c r="B1" s="1" t="inlineStr">
        <is>
          <t xml:space="preserve">FY2025</t>
        </is>
      </c>
      <c r="C1" s="1" t="inlineStr">
        <is>
          <t xml:space="preserve">FY2026</t>
        </is>
      </c>
      <c r="D1" s="1" t="inlineStr">
        <is>
          <t xml:space="preserve">FY2027</t>
        </is>
      </c>
      <c r="E1" s="1" t="inlineStr">
        <is>
          <t xml:space="preserve">FY2028</t>
        </is>
      </c>
      <c r="F1" s="1" t="inlineStr">
        <is>
          <t xml:space="preserve">FY2029</t>
        </is>
      </c>
      <c r="G1" s="1" t="inlineStr">
        <is>
          <t xml:space="preserve">FY2030</t>
        </is>
      </c>
    </row>
    <row r="2">
      <c r="A2" s="0" t="inlineStr">
        <is>
          <t xml:space="preserve">Revenue growth</t>
        </is>
      </c>
      <c r="C2" s="14">
        <v>0.2</v>
      </c>
      <c r="D2" s="14">
        <v>0.18</v>
      </c>
      <c r="E2" s="14">
        <v>0.16</v>
      </c>
      <c r="F2" s="14">
        <v>0.14</v>
      </c>
      <c r="G2" s="14">
        <v>0.12</v>
      </c>
    </row>
    <row r="3">
      <c r="A3" s="0" t="inlineStr">
        <is>
          <t xml:space="preserve">EBITDA margin</t>
        </is>
      </c>
      <c r="C3" s="14">
        <v>0.28</v>
      </c>
      <c r="D3" s="14">
        <v>0.3</v>
      </c>
      <c r="E3" s="14">
        <v>0.32</v>
      </c>
      <c r="F3" s="14">
        <v>0.33</v>
      </c>
      <c r="G3" s="14">
        <v>0.34</v>
      </c>
    </row>
    <row r="4">
      <c r="A4" s="0" t="inlineStr">
        <is>
          <t xml:space="preserve">D&amp;A, % of revenue</t>
        </is>
      </c>
      <c r="C4" s="14">
        <v>0.035</v>
      </c>
      <c r="D4" s="14">
        <v>0.035</v>
      </c>
      <c r="E4" s="14">
        <v>0.035</v>
      </c>
      <c r="F4" s="14">
        <v>0.035</v>
      </c>
      <c r="G4" s="14">
        <v>0.035</v>
      </c>
    </row>
    <row r="5">
      <c r="A5" s="0" t="inlineStr">
        <is>
          <t xml:space="preserve">Capex, % of revenue</t>
        </is>
      </c>
      <c r="C5" s="14">
        <v>0.045</v>
      </c>
      <c r="D5" s="14">
        <v>0.045</v>
      </c>
      <c r="E5" s="14">
        <v>0.045</v>
      </c>
      <c r="F5" s="14">
        <v>0.045</v>
      </c>
      <c r="G5" s="14">
        <v>0.045</v>
      </c>
    </row>
    <row r="6">
      <c r="A6" s="0" t="inlineStr">
        <is>
          <t xml:space="preserve">Net working capital, % of revenue change</t>
        </is>
      </c>
      <c r="C6" s="14">
        <v>0.1</v>
      </c>
      <c r="D6" s="14">
        <v>0.1</v>
      </c>
      <c r="E6" s="14">
        <v>0.1</v>
      </c>
      <c r="F6" s="14">
        <v>0.1</v>
      </c>
      <c r="G6" s="14">
        <v>0.1</v>
      </c>
    </row>
    <row r="7">
      <c r="A7" s="0" t="inlineStr">
        <is>
          <t xml:space="preserve">Cash tax rate</t>
        </is>
      </c>
      <c r="C7" s="14">
        <v>0.25</v>
      </c>
      <c r="D7" s="14">
        <v>0.25</v>
      </c>
      <c r="E7" s="14">
        <v>0.25</v>
      </c>
      <c r="F7" s="14">
        <v>0.25</v>
      </c>
      <c r="G7" s="14">
        <v>0.25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Risk-free rate</t>
        </is>
      </c>
      <c r="B2" s="14">
        <v>0.042</v>
      </c>
    </row>
    <row r="3">
      <c r="A3" s="0" t="inlineStr">
        <is>
          <t xml:space="preserve">Levered beta</t>
        </is>
      </c>
      <c r="B3" s="10">
        <v>1.15</v>
      </c>
    </row>
    <row r="4">
      <c r="A4" s="0" t="inlineStr">
        <is>
          <t xml:space="preserve">Equity risk premium</t>
        </is>
      </c>
      <c r="B4" s="14">
        <v>0.045</v>
      </c>
    </row>
    <row r="5">
      <c r="A5" s="0" t="inlineStr">
        <is>
          <t xml:space="preserve">Cost of equity</t>
        </is>
      </c>
      <c r="B5" s="12">
        <f>(B2+(B3*B4))</f>
        <v>0.09375</v>
      </c>
    </row>
    <row r="6">
      <c r="A6" s="0" t="inlineStr">
        <is>
          <t xml:space="preserve">Pre-tax cost of debt</t>
        </is>
      </c>
      <c r="B6" s="14">
        <v>0.055</v>
      </c>
    </row>
    <row r="7">
      <c r="A7" s="0" t="inlineStr">
        <is>
          <t xml:space="preserve">Tax rate</t>
        </is>
      </c>
      <c r="B7" s="14">
        <v>0.25</v>
      </c>
    </row>
    <row r="8">
      <c r="A8" s="0" t="inlineStr">
        <is>
          <t xml:space="preserve">After-tax cost of debt</t>
        </is>
      </c>
      <c r="B8" s="12">
        <f>(B6*(1-B7))</f>
        <v>0.04125</v>
      </c>
    </row>
    <row r="9">
      <c r="A9" s="0" t="inlineStr">
        <is>
          <t xml:space="preserve">Debt / (debt + equity)</t>
        </is>
      </c>
      <c r="B9" s="14">
        <v>0.15</v>
      </c>
    </row>
    <row r="10">
      <c r="A10" s="0" t="inlineStr">
        <is>
          <t xml:space="preserve">Equity / (debt + equity)</t>
        </is>
      </c>
      <c r="B10" s="12">
        <f>(1-B9)</f>
        <v>0.85</v>
      </c>
    </row>
    <row r="11">
      <c r="A11" s="0" t="inlineStr">
        <is>
          <t xml:space="preserve">WACC</t>
        </is>
      </c>
      <c r="B11" s="12">
        <f>((B10*B5)+(B9*B8))</f>
        <v>0.08587499999999999</v>
      </c>
    </row>
    <row r="12">
      <c r="A12" s="0" t="inlineStr">
        <is>
          <t xml:space="preserve">Terminal growth rate</t>
        </is>
      </c>
      <c r="B12" s="14">
        <v>0.035</v>
      </c>
    </row>
    <row r="13">
      <c r="A13" s="0" t="inlineStr">
        <is>
          <t xml:space="preserve">Exit multiple, EV / EBITDA (x)</t>
        </is>
      </c>
      <c r="B13" s="6">
        <v>16</v>
      </c>
    </row>
    <row r="14">
      <c r="A14" s="0" t="inlineStr">
        <is>
          <t xml:space="preserve">Net debt</t>
        </is>
      </c>
      <c r="B14" s="6">
        <v>200</v>
      </c>
    </row>
    <row r="15">
      <c r="A15" s="0" t="inlineStr">
        <is>
          <t xml:space="preserve">Diluted shares (M)</t>
        </is>
      </c>
      <c r="B15" s="6">
        <v>60</v>
      </c>
    </row>
    <row r="16">
      <c r="A16" s="0" t="inlineStr">
        <is>
          <t xml:space="preserve">Current share price ($)</t>
        </is>
      </c>
      <c r="B16" s="6">
        <v>58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1" t="inlineStr">
        <is>
          <t xml:space="preserve">line</t>
        </is>
      </c>
      <c r="B1" s="1" t="inlineStr">
        <is>
          <t xml:space="preserve">FY2025</t>
        </is>
      </c>
      <c r="C1" s="1" t="inlineStr">
        <is>
          <t xml:space="preserve">FY2026</t>
        </is>
      </c>
      <c r="D1" s="1" t="inlineStr">
        <is>
          <t xml:space="preserve">FY2027</t>
        </is>
      </c>
      <c r="E1" s="1" t="inlineStr">
        <is>
          <t xml:space="preserve">FY2028</t>
        </is>
      </c>
      <c r="F1" s="1" t="inlineStr">
        <is>
          <t xml:space="preserve">FY2029</t>
        </is>
      </c>
      <c r="G1" s="1" t="inlineStr">
        <is>
          <t xml:space="preserve">FY2030</t>
        </is>
      </c>
    </row>
    <row r="2">
      <c r="A2" s="0" t="inlineStr">
        <is>
          <t xml:space="preserve">Revenue</t>
        </is>
      </c>
      <c r="B2" s="10">
        <v>520</v>
      </c>
      <c r="C2" s="8">
        <f>(B2*(1+'Operating drivers'!C2))</f>
        <v>624</v>
      </c>
      <c r="D2" s="8">
        <f>(C2*(1+'Operating drivers'!D2))</f>
        <v>736.3199999999999</v>
      </c>
      <c r="E2" s="8">
        <f>(D2*(1+'Operating drivers'!E2))</f>
        <v>854.1311999999999</v>
      </c>
      <c r="F2" s="8">
        <f>(E2*(1+'Operating drivers'!F2))</f>
        <v>973.709568</v>
      </c>
      <c r="G2" s="8">
        <f>(F2*(1+'Operating drivers'!G2))</f>
        <v>1090.55471616</v>
      </c>
    </row>
    <row r="3">
      <c r="A3" s="0" t="inlineStr">
        <is>
          <t xml:space="preserve">Revenue growth</t>
        </is>
      </c>
      <c r="B3" s="12">
        <f>IFERROR(((B2/0)-1),"")</f>
      </c>
      <c r="C3" s="12">
        <f>IFERROR(((C2/B2)-1),"")</f>
        <v>0.19999999999999996</v>
      </c>
      <c r="D3" s="12">
        <f>IFERROR(((D2/C2)-1),"")</f>
        <v>0.17999999999999994</v>
      </c>
      <c r="E3" s="12">
        <f>IFERROR(((E2/D2)-1),"")</f>
        <v>0.15999999999999992</v>
      </c>
      <c r="F3" s="12">
        <f>IFERROR(((F2/E2)-1),"")</f>
        <v>0.14000000000000012</v>
      </c>
      <c r="G3" s="12">
        <f>IFERROR(((G2/F2)-1),"")</f>
        <v>0.1200000000000001</v>
      </c>
    </row>
    <row r="4">
      <c r="A4" s="0" t="inlineStr">
        <is>
          <t xml:space="preserve">EBITDA</t>
        </is>
      </c>
      <c r="B4" s="10">
        <v>140</v>
      </c>
      <c r="C4" s="8">
        <f>(C2*'Operating drivers'!C3)</f>
        <v>174.72000000000003</v>
      </c>
      <c r="D4" s="8">
        <f>(D2*'Operating drivers'!D3)</f>
        <v>220.896</v>
      </c>
      <c r="E4" s="8">
        <f>(E2*'Operating drivers'!E3)</f>
        <v>273.321984</v>
      </c>
      <c r="F4" s="8">
        <f>(F2*'Operating drivers'!F3)</f>
        <v>321.32415744</v>
      </c>
      <c r="G4" s="8">
        <f>(G2*'Operating drivers'!G3)</f>
        <v>370.78860349440004</v>
      </c>
    </row>
    <row r="5">
      <c r="A5" s="0" t="inlineStr">
        <is>
          <t xml:space="preserve">EBITDA margin</t>
        </is>
      </c>
      <c r="B5" s="12">
        <f>(B4/B2)</f>
        <v>0.2692307692307692</v>
      </c>
      <c r="C5" s="12">
        <f>(C4/C2)</f>
        <v>0.28</v>
      </c>
      <c r="D5" s="12">
        <f>(D4/D2)</f>
        <v>0.3</v>
      </c>
      <c r="E5" s="12">
        <f>(E4/E2)</f>
        <v>0.32</v>
      </c>
      <c r="F5" s="12">
        <f>(F4/F2)</f>
        <v>0.33</v>
      </c>
      <c r="G5" s="12">
        <f>(G4/G2)</f>
        <v>0.34</v>
      </c>
    </row>
    <row r="6">
      <c r="A6" s="0" t="inlineStr">
        <is>
          <t xml:space="preserve">Less: D&amp;A</t>
        </is>
      </c>
      <c r="B6" s="10">
        <v>18</v>
      </c>
      <c r="C6" s="8">
        <f>(C2*'Operating drivers'!C4)</f>
        <v>21.840000000000003</v>
      </c>
      <c r="D6" s="8">
        <f>(D2*'Operating drivers'!D4)</f>
        <v>25.7712</v>
      </c>
      <c r="E6" s="8">
        <f>(E2*'Operating drivers'!E4)</f>
        <v>29.894592</v>
      </c>
      <c r="F6" s="8">
        <f>(F2*'Operating drivers'!F4)</f>
        <v>34.07983488</v>
      </c>
      <c r="G6" s="8">
        <f>(G2*'Operating drivers'!G4)</f>
        <v>38.169415065600006</v>
      </c>
    </row>
    <row r="7">
      <c r="A7" s="0" t="inlineStr">
        <is>
          <t xml:space="preserve">EBIT</t>
        </is>
      </c>
      <c r="B7" s="8">
        <f>(B4-B6)</f>
        <v>122</v>
      </c>
      <c r="C7" s="8">
        <f>(C4-C6)</f>
        <v>152.88000000000002</v>
      </c>
      <c r="D7" s="8">
        <f>(D4-D6)</f>
        <v>195.1248</v>
      </c>
      <c r="E7" s="8">
        <f>(E4-E6)</f>
        <v>243.427392</v>
      </c>
      <c r="F7" s="8">
        <f>(F4-F6)</f>
        <v>287.24432256</v>
      </c>
      <c r="G7" s="8">
        <f>(G4-G6)</f>
        <v>332.61918842880004</v>
      </c>
    </row>
    <row r="8">
      <c r="A8" s="0" t="inlineStr">
        <is>
          <t xml:space="preserve">Less: cash taxes</t>
        </is>
      </c>
      <c r="C8" s="8">
        <f>IF((C7&gt;0),(C7*'Operating drivers'!C7),0)</f>
        <v>38.220000000000006</v>
      </c>
      <c r="D8" s="8">
        <f>IF((D7&gt;0),(D7*'Operating drivers'!D7),0)</f>
        <v>48.7812</v>
      </c>
      <c r="E8" s="8">
        <f>IF((E7&gt;0),(E7*'Operating drivers'!E7),0)</f>
        <v>60.856848</v>
      </c>
      <c r="F8" s="8">
        <f>IF((F7&gt;0),(F7*'Operating drivers'!F7),0)</f>
        <v>71.81108064</v>
      </c>
      <c r="G8" s="8">
        <f>IF((G7&gt;0),(G7*'Operating drivers'!G7),0)</f>
        <v>83.15479710720001</v>
      </c>
    </row>
    <row r="9">
      <c r="A9" s="0" t="inlineStr">
        <is>
          <t xml:space="preserve">NOPAT</t>
        </is>
      </c>
      <c r="C9" s="8">
        <f>(C7-C8)</f>
        <v>114.66000000000003</v>
      </c>
      <c r="D9" s="8">
        <f>(D7-D8)</f>
        <v>146.34359999999998</v>
      </c>
      <c r="E9" s="8">
        <f>(E7-E8)</f>
        <v>182.57054399999998</v>
      </c>
      <c r="F9" s="8">
        <f>(F7-F8)</f>
        <v>215.43324192</v>
      </c>
      <c r="G9" s="8">
        <f>(G7-G8)</f>
        <v>249.46439132160003</v>
      </c>
    </row>
    <row r="10">
      <c r="A10" s="0" t="inlineStr">
        <is>
          <t xml:space="preserve">Less: capex</t>
        </is>
      </c>
      <c r="B10" s="10">
        <v>26</v>
      </c>
      <c r="C10" s="8">
        <f>(C2*'Operating drivers'!C5)</f>
        <v>28.08</v>
      </c>
      <c r="D10" s="8">
        <f>(D2*'Operating drivers'!D5)</f>
        <v>33.1344</v>
      </c>
      <c r="E10" s="8">
        <f>(E2*'Operating drivers'!E5)</f>
        <v>38.435903999999994</v>
      </c>
      <c r="F10" s="8">
        <f>(F2*'Operating drivers'!F5)</f>
        <v>43.816930559999996</v>
      </c>
      <c r="G10" s="8">
        <f>(G2*'Operating drivers'!G5)</f>
        <v>49.0749622272</v>
      </c>
    </row>
    <row r="11">
      <c r="A11" s="0" t="inlineStr">
        <is>
          <t xml:space="preserve">Less: increase in net working capital</t>
        </is>
      </c>
      <c r="B11" s="10">
        <v>9</v>
      </c>
      <c r="C11" s="8">
        <f>((C2-B2)*'Operating drivers'!C6)</f>
        <v>10.4</v>
      </c>
      <c r="D11" s="8">
        <f>((D2-C2)*'Operating drivers'!D6)</f>
        <v>11.231999999999994</v>
      </c>
      <c r="E11" s="8">
        <f>((E2-D2)*'Operating drivers'!E6)</f>
        <v>11.78112</v>
      </c>
      <c r="F11" s="8">
        <f>((F2-E2)*'Operating drivers'!F6)</f>
        <v>11.957836800000008</v>
      </c>
      <c r="G11" s="8">
        <f>((G2-F2)*'Operating drivers'!G6)</f>
        <v>11.684514816000002</v>
      </c>
    </row>
    <row r="12">
      <c r="A12" s="0" t="inlineStr">
        <is>
          <t xml:space="preserve">Unlevered free cash flow</t>
        </is>
      </c>
      <c r="C12" s="8">
        <f>(((C9+C6)-C10)-C11)</f>
        <v>98.02000000000002</v>
      </c>
      <c r="D12" s="8">
        <f>(((D9+D6)-D10)-D11)</f>
        <v>127.74839999999998</v>
      </c>
      <c r="E12" s="8">
        <f>(((E9+E6)-E10)-E11)</f>
        <v>162.248112</v>
      </c>
      <c r="F12" s="8">
        <f>(((F9+F6)-F10)-F11)</f>
        <v>193.73830944</v>
      </c>
      <c r="G12" s="8">
        <f>(((G9+G6)-G10)-G11)</f>
        <v>226.87432934400005</v>
      </c>
    </row>
    <row r="13">
      <c r="A13" s="0" t="inlineStr">
        <is>
          <t xml:space="preserve">Year (from valuation date)</t>
        </is>
      </c>
      <c r="B13" s="4">
        <f>0</f>
        <v>0</v>
      </c>
      <c r="C13" s="4">
        <f>1</f>
        <v>1</v>
      </c>
      <c r="D13" s="4">
        <f>2</f>
        <v>2</v>
      </c>
      <c r="E13" s="4">
        <f>3</f>
        <v>3</v>
      </c>
      <c r="F13" s="4">
        <f>4</f>
        <v>4</v>
      </c>
      <c r="G13" s="4">
        <f>5</f>
        <v>5</v>
      </c>
    </row>
    <row r="14">
      <c r="A14" s="0" t="inlineStr">
        <is>
          <t xml:space="preserve">Discount factor (mid-year)</t>
        </is>
      </c>
      <c r="C14" s="8">
        <f>(1/((1+'WACC, terminal value and equity'!B11)^(C13-0.5)))</f>
        <v>0.9596438462941194</v>
      </c>
      <c r="D14" s="8">
        <f>(1/((1+'WACC, terminal value and equity'!B11)^(D13-0.5)))</f>
        <v>0.8837516715037362</v>
      </c>
      <c r="E14" s="8">
        <f>(1/((1+'WACC, terminal value and equity'!B11)^(E13-0.5)))</f>
        <v>0.813861329806595</v>
      </c>
      <c r="F14" s="8">
        <f>(1/((1+'WACC, terminal value and equity'!B11)^(F13-0.5)))</f>
        <v>0.7494981741053022</v>
      </c>
      <c r="G14" s="8">
        <f>(1/((1+'WACC, terminal value and equity'!B11)^(G13-0.5)))</f>
        <v>0.6902250941455528</v>
      </c>
    </row>
    <row r="15">
      <c r="A15" s="0" t="inlineStr">
        <is>
          <t xml:space="preserve">PV of unlevered free cash flow</t>
        </is>
      </c>
      <c r="C15" s="8">
        <f>(C12*C14)</f>
        <v>94.06428981374961</v>
      </c>
      <c r="D15" s="8">
        <f>(D12*D14)</f>
        <v>112.89786203192787</v>
      </c>
      <c r="E15" s="8">
        <f>(E12*E14)</f>
        <v>132.04746419092936</v>
      </c>
      <c r="F15" s="8">
        <f>(F12*F14)</f>
        <v>145.206509179528</v>
      </c>
      <c r="G15" s="8">
        <f>(G12*G14)</f>
        <v>156.5943553306716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</cols>
  <sheetData>
    <row r="1">
      <c r="A1" s="1" t="inlineStr">
        <is>
          <t xml:space="preserve">line</t>
        </is>
      </c>
      <c r="B1" s="1" t="inlineStr">
        <is>
          <t xml:space="preserve">Perpetuity growth</t>
        </is>
      </c>
      <c r="C1" s="1" t="inlineStr">
        <is>
          <t xml:space="preserve">Exit multiple</t>
        </is>
      </c>
    </row>
    <row r="2">
      <c r="A2" s="0" t="inlineStr">
        <is>
          <t xml:space="preserve">PV of forecast cash flows</t>
        </is>
      </c>
      <c r="B2" s="8">
        <f>SUM('Unlevered free cash flow'!C15:G15)</f>
        <v>640.8104805468065</v>
      </c>
      <c r="C2" s="8">
        <f>SUM('Unlevered free cash flow'!C15:G15)</f>
        <v>640.8104805468065</v>
      </c>
    </row>
    <row r="3">
      <c r="A3" s="0" t="inlineStr">
        <is>
          <t xml:space="preserve">Terminal value</t>
        </is>
      </c>
      <c r="B3" s="8">
        <f>(('Unlevered free cash flow'!G12*(1+'WACC, terminal value and equity'!B12))/('WACC, terminal value and equity'!B11-'WACC, terminal value and equity'!B12))</f>
        <v>4615.52689672806</v>
      </c>
      <c r="C3" s="8">
        <f>('Unlevered free cash flow'!G4*'WACC, terminal value and equity'!B13)</f>
        <v>5932.617655910401</v>
      </c>
    </row>
    <row r="4">
      <c r="A4" s="0" t="inlineStr">
        <is>
          <t xml:space="preserve">PV of terminal value</t>
        </is>
      </c>
      <c r="B4" s="8">
        <f>(B3/((1+'WACC, terminal value and equity'!B11)^'Unlevered free cash flow'!G13))</f>
        <v>3057.1877697982372</v>
      </c>
      <c r="C4" s="8">
        <f>(C3/((1+'WACC, terminal value and equity'!B11)^'Unlevered free cash flow'!G13))</f>
        <v>3929.589523873373</v>
      </c>
    </row>
    <row r="5">
      <c r="A5" s="0" t="inlineStr">
        <is>
          <t xml:space="preserve">Enterprise value</t>
        </is>
      </c>
      <c r="B5" s="8">
        <f>(B2+B4)</f>
        <v>3697.9982503450437</v>
      </c>
      <c r="C5" s="8">
        <f>(C2+C4)</f>
        <v>4570.400004420179</v>
      </c>
    </row>
    <row r="6">
      <c r="A6" s="0" t="inlineStr">
        <is>
          <t xml:space="preserve">Less: net debt</t>
        </is>
      </c>
      <c r="B6" s="4">
        <f>'WACC, terminal value and equity'!B14</f>
        <v>200</v>
      </c>
      <c r="C6" s="4">
        <f>'WACC, terminal value and equity'!B14</f>
        <v>200</v>
      </c>
    </row>
    <row r="7">
      <c r="A7" s="0" t="inlineStr">
        <is>
          <t xml:space="preserve">Equity value</t>
        </is>
      </c>
      <c r="B7" s="8">
        <f>(B5-B6)</f>
        <v>3497.9982503450437</v>
      </c>
      <c r="C7" s="8">
        <f>(C5-C6)</f>
        <v>4370.400004420179</v>
      </c>
    </row>
    <row r="8">
      <c r="A8" s="0" t="inlineStr">
        <is>
          <t xml:space="preserve">Equity value per share ($)</t>
        </is>
      </c>
      <c r="B8" s="8">
        <f>(B7/'WACC, terminal value and equity'!B15)</f>
        <v>58.29997083908406</v>
      </c>
      <c r="C8" s="8">
        <f>(C7/'WACC, terminal value and equity'!B15)</f>
        <v>72.84000007366966</v>
      </c>
    </row>
    <row r="9">
      <c r="A9" s="0" t="inlineStr">
        <is>
          <t xml:space="preserve">Current share price ($)</t>
        </is>
      </c>
      <c r="B9" s="4">
        <f>'WACC, terminal value and equity'!B16</f>
        <v>58</v>
      </c>
      <c r="C9" s="4">
        <f>'WACC, terminal value and equity'!B16</f>
        <v>58</v>
      </c>
    </row>
    <row r="10">
      <c r="A10" s="0" t="inlineStr">
        <is>
          <t xml:space="preserve">Implied premium to current</t>
        </is>
      </c>
      <c r="B10" s="12">
        <f>((B8/B9)-1)</f>
        <v>0.005171911018690745</v>
      </c>
      <c r="C10" s="12">
        <f>((C8/C9)-1)</f>
        <v>0.25586207023568375</v>
      </c>
    </row>
    <row r="11">
      <c r="A11" s="0" t="inlineStr">
        <is>
          <t xml:space="preserve">Terminal value, % of EV</t>
        </is>
      </c>
      <c r="B11" s="12">
        <f>(B4/B5)</f>
        <v>0.8267142283025647</v>
      </c>
      <c r="C11" s="12">
        <f>(C4/C5)</f>
        <v>0.8597911605270746</v>
      </c>
    </row>
    <row r="12">
      <c r="A12" s="0" t="inlineStr">
        <is>
          <t xml:space="preserve">Implied exit multiple, EV / EBITDA (x)</t>
        </is>
      </c>
      <c r="B12" s="8">
        <f>(B3/'Unlevered free cash flow'!G4)</f>
        <v>12.447866124336715</v>
      </c>
      <c r="C12" s="8">
        <f>(C3/'Unlevered free cash flow'!G4)</f>
        <v>16</v>
      </c>
    </row>
    <row r="13">
      <c r="A13" s="0" t="inlineStr">
        <is>
          <t xml:space="preserve">Implied perpetuity growth</t>
        </is>
      </c>
      <c r="B13" s="12">
        <f>(((B3*'WACC, terminal value and equity'!B11)-'Unlevered free cash flow'!G12)/(B3+'Unlevered free cash flow'!G12))</f>
        <v>0.03499999999999999</v>
      </c>
      <c r="C13" s="12">
        <f>(((C3*'WACC, terminal value and equity'!B11)-'Unlevered free cash flow'!G12)/(C3+'Unlevered free cash flow'!G12))</f>
        <v>0.04587865566410571</v>
      </c>
    </row>
    <row r="14">
      <c r="A14" s="0" t="inlineStr">
        <is>
          <t xml:space="preserve">Implied EV / LTM EBITDA (x)</t>
        </is>
      </c>
      <c r="B14" s="8">
        <f>(B5/'Unlevered free cash flow'!B4)</f>
        <v>26.414273216750313</v>
      </c>
      <c r="C14" s="8">
        <f>(C5/'Unlevered free cash flow'!B4)</f>
        <v>32.645714317286995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cols>
    <col min="1" max="1" width="18" customWidth="1"/>
    <col min="2" max="2" width="3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1" t="inlineStr">
        <is>
          <t xml:space="preserve">line</t>
        </is>
      </c>
      <c r="B1" s="1" t="inlineStr">
        <is>
          <t xml:space="preserve">wacc_case</t>
        </is>
      </c>
      <c r="C1" s="1" t="inlineStr">
        <is>
          <t xml:space="preserve">g −100 bp</t>
        </is>
      </c>
      <c r="D1" s="1" t="inlineStr">
        <is>
          <t xml:space="preserve">−50 bp</t>
        </is>
      </c>
      <c r="E1" s="1" t="inlineStr">
        <is>
          <t xml:space="preserve">Base growth</t>
        </is>
      </c>
      <c r="F1" s="1" t="inlineStr">
        <is>
          <t xml:space="preserve">+50 bp</t>
        </is>
      </c>
      <c r="G1" s="1" t="inlineStr">
        <is>
          <t xml:space="preserve">+100 bp</t>
        </is>
      </c>
    </row>
    <row r="2">
      <c r="A2" s="0" t="inlineStr">
        <is>
          <t xml:space="preserve">Equity value per share ($)</t>
        </is>
      </c>
      <c r="B2" s="0" t="inlineStr">
        <is>
          <t xml:space="preserve">WACC −100 bp</t>
        </is>
      </c>
      <c r="C2" s="8">
        <f>((((NPV(('WACC, terminal value and equity'!B11+-0.01),'Unlevered free cash flow'!C12:G12)*((1+('WACC, terminal value and equity'!B11+-0.01))^0.5))+((('Unlevered free cash flow'!G12*((1+'WACC, terminal value and equity'!B12)+-0.01))/(('WACC, terminal value and equity'!B11+-0.01)-('WACC, terminal value and equity'!B12+-0.01)))/((1+('WACC, terminal value and equity'!B11+-0.01))^'Unlevered free cash flow'!G13)))-'WACC, terminal value and equity'!B14)/'WACC, terminal value and equity'!B15)</f>
        <v>60.472440083278556</v>
      </c>
      <c r="D2" s="8">
        <f>((((NPV(('WACC, terminal value and equity'!B11+-0.01),'Unlevered free cash flow'!C12:G12)*((1+('WACC, terminal value and equity'!B11+-0.01))^0.5))+((('Unlevered free cash flow'!G12*((1+'WACC, terminal value and equity'!B12)+-0.005))/(('WACC, terminal value and equity'!B11+-0.01)-('WACC, terminal value and equity'!B12+-0.005)))/((1+('WACC, terminal value and equity'!B11+-0.01))^'Unlevered free cash flow'!G13)))-'WACC, terminal value and equity'!B14)/'WACC, terminal value and equity'!B15)</f>
        <v>66.51855432778802</v>
      </c>
      <c r="E2" s="8">
        <f>((((NPV(('WACC, terminal value and equity'!B11+-0.01),'Unlevered free cash flow'!C12:G12)*((1+('WACC, terminal value and equity'!B11+-0.01))^0.5))+((('Unlevered free cash flow'!G12*((1+'WACC, terminal value and equity'!B12)+0))/(('WACC, terminal value and equity'!B11+-0.01)-('WACC, terminal value and equity'!B12+0)))/((1+('WACC, terminal value and equity'!B11+-0.01))^'Unlevered free cash flow'!G13)))-'WACC, terminal value and equity'!B14)/'WACC, terminal value and equity'!B15)</f>
        <v>74.04384025291141</v>
      </c>
      <c r="F2" s="8">
        <f>((((NPV(('WACC, terminal value and equity'!B11+-0.01),'Unlevered free cash flow'!C12:G12)*((1+('WACC, terminal value and equity'!B11+-0.01))^0.5))+((('Unlevered free cash flow'!G12*((1+'WACC, terminal value and equity'!B12)+0.005))/(('WACC, terminal value and equity'!B11+-0.01)-('WACC, terminal value and equity'!B12+0.005)))/((1+('WACC, terminal value and equity'!B11+-0.01))^'Unlevered free cash flow'!G13)))-'WACC, terminal value and equity'!B14)/'WACC, terminal value and equity'!B15)</f>
        <v>83.66676685402737</v>
      </c>
      <c r="G2" s="8">
        <f>((((NPV(('WACC, terminal value and equity'!B11+-0.01),'Unlevered free cash flow'!C12:G12)*((1+('WACC, terminal value and equity'!B11+-0.01))^0.5))+((('Unlevered free cash flow'!G12*((1+'WACC, terminal value and equity'!B12)+0.01))/(('WACC, terminal value and equity'!B11+-0.01)-('WACC, terminal value and equity'!B12+0.01)))/((1+('WACC, terminal value and equity'!B11+-0.01))^'Unlevered free cash flow'!G13)))-'WACC, terminal value and equity'!B14)/'WACC, terminal value and equity'!B15)</f>
        <v>96.40643081582871</v>
      </c>
    </row>
    <row r="3">
      <c r="A3" s="0" t="inlineStr">
        <is>
          <t xml:space="preserve">Equity value per share ($)</t>
        </is>
      </c>
      <c r="B3" s="0" t="inlineStr">
        <is>
          <t xml:space="preserve">−50 bp</t>
        </is>
      </c>
      <c r="C3" s="8">
        <f>((((NPV(('WACC, terminal value and equity'!B11+-0.005),'Unlevered free cash flow'!C12:G12)*((1+('WACC, terminal value and equity'!B11+-0.005))^0.5))+((('Unlevered free cash flow'!G12*((1+'WACC, terminal value and equity'!B12)+-0.01))/(('WACC, terminal value and equity'!B11+-0.005)-('WACC, terminal value and equity'!B12+-0.01)))/((1+('WACC, terminal value and equity'!B11+-0.005))^'Unlevered free cash flow'!G13)))-'WACC, terminal value and equity'!B14)/'WACC, terminal value and equity'!B15)</f>
        <v>54.50113881856645</v>
      </c>
      <c r="D3" s="8">
        <f>((((NPV(('WACC, terminal value and equity'!B11+-0.005),'Unlevered free cash flow'!C12:G12)*((1+('WACC, terminal value and equity'!B11+-0.005))^0.5))+((('Unlevered free cash flow'!G12*((1+'WACC, terminal value and equity'!B12)+-0.005))/(('WACC, terminal value and equity'!B11+-0.005)-('WACC, terminal value and equity'!B12+-0.005)))/((1+('WACC, terminal value and equity'!B11+-0.005))^'Unlevered free cash flow'!G13)))-'WACC, terminal value and equity'!B14)/'WACC, terminal value and equity'!B15)</f>
        <v>59.37395766522366</v>
      </c>
      <c r="E3" s="8">
        <f>((((NPV(('WACC, terminal value and equity'!B11+-0.005),'Unlevered free cash flow'!C12:G12)*((1+('WACC, terminal value and equity'!B11+-0.005))^0.5))+((('Unlevered free cash flow'!G12*((1+'WACC, terminal value and equity'!B12)+0))/(('WACC, terminal value and equity'!B11+-0.005)-('WACC, terminal value and equity'!B12+0)))/((1+('WACC, terminal value and equity'!B11+-0.005))^'Unlevered free cash flow'!G13)))-'WACC, terminal value and equity'!B14)/'WACC, terminal value and equity'!B15)</f>
        <v>65.30897135583884</v>
      </c>
      <c r="F3" s="8">
        <f>((((NPV(('WACC, terminal value and equity'!B11+-0.005),'Unlevered free cash flow'!C12:G12)*((1+('WACC, terminal value and equity'!B11+-0.005))^0.5))+((('Unlevered free cash flow'!G12*((1+'WACC, terminal value and equity'!B12)+0.005))/(('WACC, terminal value and equity'!B11+-0.005)-('WACC, terminal value and equity'!B12+0.005)))/((1+('WACC, terminal value and equity'!B11+-0.005))^'Unlevered free cash flow'!G13)))-'WACC, terminal value and equity'!B14)/'WACC, terminal value and equity'!B15)</f>
        <v>72.69597616342408</v>
      </c>
      <c r="G3" s="8">
        <f>((((NPV(('WACC, terminal value and equity'!B11+-0.005),'Unlevered free cash flow'!C12:G12)*((1+('WACC, terminal value and equity'!B11+-0.005))^0.5))+((('Unlevered free cash flow'!G12*((1+'WACC, terminal value and equity'!B12)+0.01))/(('WACC, terminal value and equity'!B11+-0.005)-('WACC, terminal value and equity'!B12+0.01)))/((1+('WACC, terminal value and equity'!B11+-0.005))^'Unlevered free cash flow'!G13)))-'WACC, terminal value and equity'!B14)/'WACC, terminal value and equity'!B15)</f>
        <v>82.14207638775785</v>
      </c>
    </row>
    <row r="4">
      <c r="A4" s="0" t="inlineStr">
        <is>
          <t xml:space="preserve">Equity value per share ($)</t>
        </is>
      </c>
      <c r="B4" s="0" t="inlineStr">
        <is>
          <t xml:space="preserve">Base WACC</t>
        </is>
      </c>
      <c r="C4" s="8">
        <f>((((NPV(('WACC, terminal value and equity'!B11+0),'Unlevered free cash flow'!C12:G12)*((1+('WACC, terminal value and equity'!B11+0))^0.5))+((('Unlevered free cash flow'!G12*((1+'WACC, terminal value and equity'!B12)+-0.01))/(('WACC, terminal value and equity'!B11+0)-('WACC, terminal value and equity'!B12+-0.01)))/((1+('WACC, terminal value and equity'!B11+0))^'Unlevered free cash flow'!G13)))-'WACC, terminal value and equity'!B14)/'WACC, terminal value and equity'!B15)</f>
        <v>49.518416891772056</v>
      </c>
      <c r="D4" s="8">
        <f>((((NPV(('WACC, terminal value and equity'!B11+0),'Unlevered free cash flow'!C12:G12)*((1+('WACC, terminal value and equity'!B11+0))^0.5))+((('Unlevered free cash flow'!G12*((1+'WACC, terminal value and equity'!B12)+-0.005))/(('WACC, terminal value and equity'!B11+0)-('WACC, terminal value and equity'!B12+-0.005)))/((1+('WACC, terminal value and equity'!B11+0))^'Unlevered free cash flow'!G13)))-'WACC, terminal value and equity'!B14)/'WACC, terminal value and equity'!B15)</f>
        <v>53.51628317427317</v>
      </c>
      <c r="E4" s="8">
        <f>((((NPV(('WACC, terminal value and equity'!B11+0),'Unlevered free cash flow'!C12:G12)*((1+('WACC, terminal value and equity'!B11+0))^0.5))+((('Unlevered free cash flow'!G12*((1+'WACC, terminal value and equity'!B12)+0))/(('WACC, terminal value and equity'!B11+0)-('WACC, terminal value and equity'!B12+0)))/((1+('WACC, terminal value and equity'!B11+0))^'Unlevered free cash flow'!G13)))-'WACC, terminal value and equity'!B14)/'WACC, terminal value and equity'!B15)</f>
        <v>58.29997083908406</v>
      </c>
      <c r="F4" s="8">
        <f>((((NPV(('WACC, terminal value and equity'!B11+0),'Unlevered free cash flow'!C12:G12)*((1+('WACC, terminal value and equity'!B11+0))^0.5))+((('Unlevered free cash flow'!G12*((1+'WACC, terminal value and equity'!B12)+0.005))/(('WACC, terminal value and equity'!B11+0)-('WACC, terminal value and equity'!B12+0.005)))/((1+('WACC, terminal value and equity'!B11+0))^'Unlevered free cash flow'!G13)))-'WACC, terminal value and equity'!B14)/'WACC, terminal value and equity'!B15)</f>
        <v>64.12642420739597</v>
      </c>
      <c r="G4" s="8">
        <f>((((NPV(('WACC, terminal value and equity'!B11+0),'Unlevered free cash flow'!C12:G12)*((1+('WACC, terminal value and equity'!B11+0))^0.5))+((('Unlevered free cash flow'!G12*((1+'WACC, terminal value and equity'!B12)+0.01))/(('WACC, terminal value and equity'!B11+0)-('WACC, terminal value and equity'!B12+0.01)))/((1+('WACC, terminal value and equity'!B11+0))^'Unlevered free cash flow'!G13)))-'WACC, terminal value and equity'!B14)/'WACC, terminal value and equity'!B15)</f>
        <v>71.37830959242031</v>
      </c>
    </row>
    <row r="5">
      <c r="A5" s="0" t="inlineStr">
        <is>
          <t xml:space="preserve">Equity value per share ($)</t>
        </is>
      </c>
      <c r="B5" s="0" t="inlineStr">
        <is>
          <t xml:space="preserve">+50 bp</t>
        </is>
      </c>
      <c r="C5" s="8">
        <f>((((NPV(('WACC, terminal value and equity'!B11+0.005),'Unlevered free cash flow'!C12:G12)*((1+('WACC, terminal value and equity'!B11+0.005))^0.5))+((('Unlevered free cash flow'!G12*((1+'WACC, terminal value and equity'!B12)+-0.01))/(('WACC, terminal value and equity'!B11+0.005)-('WACC, terminal value and equity'!B12+-0.01)))/((1+('WACC, terminal value and equity'!B11+0.005))^'Unlevered free cash flow'!G13)))-'WACC, terminal value and equity'!B14)/'WACC, terminal value and equity'!B15)</f>
        <v>45.29892850275264</v>
      </c>
      <c r="D5" s="8">
        <f>((((NPV(('WACC, terminal value and equity'!B11+0.005),'Unlevered free cash flow'!C12:G12)*((1+('WACC, terminal value and equity'!B11+0.005))^0.5))+((('Unlevered free cash flow'!G12*((1+'WACC, terminal value and equity'!B12)+-0.005))/(('WACC, terminal value and equity'!B11+0.005)-('WACC, terminal value and equity'!B12+-0.005)))/((1+('WACC, terminal value and equity'!B11+0.005))^'Unlevered free cash flow'!G13)))-'WACC, terminal value and equity'!B14)/'WACC, terminal value and equity'!B15)</f>
        <v>48.62816428848228</v>
      </c>
      <c r="E5" s="8">
        <f>((((NPV(('WACC, terminal value and equity'!B11+0.005),'Unlevered free cash flow'!C12:G12)*((1+('WACC, terminal value and equity'!B11+0.005))^0.5))+((('Unlevered free cash flow'!G12*((1+'WACC, terminal value and equity'!B12)+0))/(('WACC, terminal value and equity'!B11+0.005)-('WACC, terminal value and equity'!B12+0)))/((1+('WACC, terminal value and equity'!B11+0.005))^'Unlevered free cash flow'!G13)))-'WACC, terminal value and equity'!B14)/'WACC, terminal value and equity'!B15)</f>
        <v>52.55323645644542</v>
      </c>
      <c r="F5" s="8">
        <f>((((NPV(('WACC, terminal value and equity'!B11+0.005),'Unlevered free cash flow'!C12:G12)*((1+('WACC, terminal value and equity'!B11+0.005))^0.5))+((('Unlevered free cash flow'!G12*((1+'WACC, terminal value and equity'!B12)+0.005))/(('WACC, terminal value and equity'!B11+0.005)-('WACC, terminal value and equity'!B12+0.005)))/((1+('WACC, terminal value and equity'!B11+0.005))^'Unlevered free cash flow'!G13)))-'WACC, terminal value and equity'!B14)/'WACC, terminal value and equity'!B15)</f>
        <v>57.249821581256334</v>
      </c>
      <c r="G5" s="8">
        <f>((((NPV(('WACC, terminal value and equity'!B11+0.005),'Unlevered free cash flow'!C12:G12)*((1+('WACC, terminal value and equity'!B11+0.005))^0.5))+((('Unlevered free cash flow'!G12*((1+'WACC, terminal value and equity'!B12)+0.01))/(('WACC, terminal value and equity'!B11+0.005)-('WACC, terminal value and equity'!B12+0.01)))/((1+('WACC, terminal value and equity'!B11+0.005))^'Unlevered free cash flow'!G13)))-'WACC, terminal value and equity'!B14)/'WACC, terminal value and equity'!B15)</f>
        <v>62.970185479868036</v>
      </c>
    </row>
    <row r="6">
      <c r="A6" s="0" t="inlineStr">
        <is>
          <t xml:space="preserve">Equity value per share ($)</t>
        </is>
      </c>
      <c r="B6" s="0" t="inlineStr">
        <is>
          <t xml:space="preserve">+100 bp</t>
        </is>
      </c>
      <c r="C6" s="8">
        <f>((((NPV(('WACC, terminal value and equity'!B11+0.01),'Unlevered free cash flow'!C12:G12)*((1+('WACC, terminal value and equity'!B11+0.01))^0.5))+((('Unlevered free cash flow'!G12*((1+'WACC, terminal value and equity'!B12)+-0.01))/(('WACC, terminal value and equity'!B11+0.01)-('WACC, terminal value and equity'!B12+-0.01)))/((1+('WACC, terminal value and equity'!B11+0.01))^'Unlevered free cash flow'!G13)))-'WACC, terminal value and equity'!B14)/'WACC, terminal value and equity'!B15)</f>
        <v>41.68092633513459</v>
      </c>
      <c r="D6" s="8">
        <f>((((NPV(('WACC, terminal value and equity'!B11+0.01),'Unlevered free cash flow'!C12:G12)*((1+('WACC, terminal value and equity'!B11+0.01))^0.5))+((('Unlevered free cash flow'!G12*((1+'WACC, terminal value and equity'!B12)+-0.005))/(('WACC, terminal value and equity'!B11+0.01)-('WACC, terminal value and equity'!B12+-0.005)))/((1+('WACC, terminal value and equity'!B11+0.01))^'Unlevered free cash flow'!G13)))-'WACC, terminal value and equity'!B14)/'WACC, terminal value and equity'!B15)</f>
        <v>44.48859809735132</v>
      </c>
      <c r="E6" s="8">
        <f>((((NPV(('WACC, terminal value and equity'!B11+0.01),'Unlevered free cash flow'!C12:G12)*((1+('WACC, terminal value and equity'!B11+0.01))^0.5))+((('Unlevered free cash flow'!G12*((1+'WACC, terminal value and equity'!B12)+0))/(('WACC, terminal value and equity'!B11+0.01)-('WACC, terminal value and equity'!B12+0)))/((1+('WACC, terminal value and equity'!B11+0.01))^'Unlevered free cash flow'!G13)))-'WACC, terminal value and equity'!B14)/'WACC, terminal value and equity'!B15)</f>
        <v>47.757489040219646</v>
      </c>
      <c r="F6" s="8">
        <f>((((NPV(('WACC, terminal value and equity'!B11+0.01),'Unlevered free cash flow'!C12:G12)*((1+('WACC, terminal value and equity'!B11+0.01))^0.5))+((('Unlevered free cash flow'!G12*((1+'WACC, terminal value and equity'!B12)+0.005))/(('WACC, terminal value and equity'!B11+0.01)-('WACC, terminal value and equity'!B12+0.005)))/((1+('WACC, terminal value and equity'!B11+0.01))^'Unlevered free cash flow'!G13)))-'WACC, terminal value and equity'!B14)/'WACC, terminal value and equity'!B15)</f>
        <v>51.61141639344473</v>
      </c>
      <c r="G6" s="8">
        <f>((((NPV(('WACC, terminal value and equity'!B11+0.01),'Unlevered free cash flow'!C12:G12)*((1+('WACC, terminal value and equity'!B11+0.01))^0.5))+((('Unlevered free cash flow'!G12*((1+'WACC, terminal value and equity'!B12)+0.01))/(('WACC, terminal value and equity'!B11+0.01)-('WACC, terminal value and equity'!B12+0.01)))/((1+('WACC, terminal value and equity'!B11+0.01))^'Unlevered free cash flow'!G13)))-'WACC, terminal value and equity'!B14)/'WACC, terminal value and equity'!B15)</f>
        <v>56.222872464748455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cols>
    <col min="1" max="1" width="18" customWidth="1"/>
    <col min="2" max="2" width="3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1" t="inlineStr">
        <is>
          <t xml:space="preserve">line</t>
        </is>
      </c>
      <c r="B1" s="1" t="inlineStr">
        <is>
          <t xml:space="preserve">wacc_case</t>
        </is>
      </c>
      <c r="C1" s="1" t="inlineStr">
        <is>
          <t xml:space="preserve">Multiple −2.0x</t>
        </is>
      </c>
      <c r="D1" s="1" t="inlineStr">
        <is>
          <t xml:space="preserve">−1.0x</t>
        </is>
      </c>
      <c r="E1" s="1" t="inlineStr">
        <is>
          <t xml:space="preserve">Base multiple</t>
        </is>
      </c>
      <c r="F1" s="1" t="inlineStr">
        <is>
          <t xml:space="preserve">+1.0x</t>
        </is>
      </c>
      <c r="G1" s="1" t="inlineStr">
        <is>
          <t xml:space="preserve">+2.0x</t>
        </is>
      </c>
    </row>
    <row r="2">
      <c r="A2" s="0" t="inlineStr">
        <is>
          <t xml:space="preserve">Equity value per share ($)</t>
        </is>
      </c>
      <c r="B2" s="0" t="inlineStr">
        <is>
          <t xml:space="preserve">WACC −100 bp</t>
        </is>
      </c>
      <c r="C2" s="8">
        <f>((((NPV(('WACC, terminal value and equity'!B11+-0.01),'Unlevered free cash flow'!C12:G12)*((1+('WACC, terminal value and equity'!B11+-0.01))^0.5))+(('Unlevered free cash flow'!G4*('WACC, terminal value and equity'!B13+-2))/((1+('WACC, terminal value and equity'!B11+-0.01))^'Unlevered free cash flow'!G13)))-'WACC, terminal value and equity'!B14)/'WACC, terminal value and equity'!B15)</f>
        <v>67.64223963996511</v>
      </c>
      <c r="D2" s="8">
        <f>((((NPV(('WACC, terminal value and equity'!B11+-0.01),'Unlevered free cash flow'!C12:G12)*((1+('WACC, terminal value and equity'!B11+-0.01))^0.5))+(('Unlevered free cash flow'!G4*('WACC, terminal value and equity'!B13+-1))/((1+('WACC, terminal value and equity'!B11+-0.01))^'Unlevered free cash flow'!G13)))-'WACC, terminal value and equity'!B14)/'WACC, terminal value and equity'!B15)</f>
        <v>71.92936365837265</v>
      </c>
      <c r="E2" s="8">
        <f>((((NPV(('WACC, terminal value and equity'!B11+-0.01),'Unlevered free cash flow'!C12:G12)*((1+('WACC, terminal value and equity'!B11+-0.01))^0.5))+(('Unlevered free cash flow'!G4*('WACC, terminal value and equity'!B13+0))/((1+('WACC, terminal value and equity'!B11+-0.01))^'Unlevered free cash flow'!G13)))-'WACC, terminal value and equity'!B14)/'WACC, terminal value and equity'!B15)</f>
        <v>76.21648767678016</v>
      </c>
      <c r="F2" s="8">
        <f>((((NPV(('WACC, terminal value and equity'!B11+-0.01),'Unlevered free cash flow'!C12:G12)*((1+('WACC, terminal value and equity'!B11+-0.01))^0.5))+(('Unlevered free cash flow'!G4*('WACC, terminal value and equity'!B13+1))/((1+('WACC, terminal value and equity'!B11+-0.01))^'Unlevered free cash flow'!G13)))-'WACC, terminal value and equity'!B14)/'WACC, terminal value and equity'!B15)</f>
        <v>80.50361169518769</v>
      </c>
      <c r="G2" s="8">
        <f>((((NPV(('WACC, terminal value and equity'!B11+-0.01),'Unlevered free cash flow'!C12:G12)*((1+('WACC, terminal value and equity'!B11+-0.01))^0.5))+(('Unlevered free cash flow'!G4*('WACC, terminal value and equity'!B13+2))/((1+('WACC, terminal value and equity'!B11+-0.01))^'Unlevered free cash flow'!G13)))-'WACC, terminal value and equity'!B14)/'WACC, terminal value and equity'!B15)</f>
        <v>84.79073571359523</v>
      </c>
    </row>
    <row r="3">
      <c r="A3" s="0" t="inlineStr">
        <is>
          <t xml:space="preserve">Equity value per share ($)</t>
        </is>
      </c>
      <c r="B3" s="0" t="inlineStr">
        <is>
          <t xml:space="preserve">−50 bp</t>
        </is>
      </c>
      <c r="C3" s="8">
        <f>((((NPV(('WACC, terminal value and equity'!B11+-0.005),'Unlevered free cash flow'!C12:G12)*((1+('WACC, terminal value and equity'!B11+-0.005))^0.5))+(('Unlevered free cash flow'!G4*('WACC, terminal value and equity'!B13+-2))/((1+('WACC, terminal value and equity'!B11+-0.005))^'Unlevered free cash flow'!G13)))-'WACC, terminal value and equity'!B14)/'WACC, terminal value and equity'!B15)</f>
        <v>66.12755454978864</v>
      </c>
      <c r="D3" s="8">
        <f>((((NPV(('WACC, terminal value and equity'!B11+-0.005),'Unlevered free cash flow'!C12:G12)*((1+('WACC, terminal value and equity'!B11+-0.005))^0.5))+(('Unlevered free cash flow'!G4*('WACC, terminal value and equity'!B13+-1))/((1+('WACC, terminal value and equity'!B11+-0.005))^'Unlevered free cash flow'!G13)))-'WACC, terminal value and equity'!B14)/'WACC, terminal value and equity'!B15)</f>
        <v>70.31643308155623</v>
      </c>
      <c r="E3" s="8">
        <f>((((NPV(('WACC, terminal value and equity'!B11+-0.005),'Unlevered free cash flow'!C12:G12)*((1+('WACC, terminal value and equity'!B11+-0.005))^0.5))+(('Unlevered free cash flow'!G4*('WACC, terminal value and equity'!B13+0))/((1+('WACC, terminal value and equity'!B11+-0.005))^'Unlevered free cash flow'!G13)))-'WACC, terminal value and equity'!B14)/'WACC, terminal value and equity'!B15)</f>
        <v>74.50531161332383</v>
      </c>
      <c r="F3" s="8">
        <f>((((NPV(('WACC, terminal value and equity'!B11+-0.005),'Unlevered free cash flow'!C12:G12)*((1+('WACC, terminal value and equity'!B11+-0.005))^0.5))+(('Unlevered free cash flow'!G4*('WACC, terminal value and equity'!B13+1))/((1+('WACC, terminal value and equity'!B11+-0.005))^'Unlevered free cash flow'!G13)))-'WACC, terminal value and equity'!B14)/'WACC, terminal value and equity'!B15)</f>
        <v>78.69419014509143</v>
      </c>
      <c r="G3" s="8">
        <f>((((NPV(('WACC, terminal value and equity'!B11+-0.005),'Unlevered free cash flow'!C12:G12)*((1+('WACC, terminal value and equity'!B11+-0.005))^0.5))+(('Unlevered free cash flow'!G4*('WACC, terminal value and equity'!B13+2))/((1+('WACC, terminal value and equity'!B11+-0.005))^'Unlevered free cash flow'!G13)))-'WACC, terminal value and equity'!B14)/'WACC, terminal value and equity'!B15)</f>
        <v>82.88306867685901</v>
      </c>
    </row>
    <row r="4">
      <c r="A4" s="0" t="inlineStr">
        <is>
          <t xml:space="preserve">Equity value per share ($)</t>
        </is>
      </c>
      <c r="B4" s="0" t="inlineStr">
        <is>
          <t xml:space="preserve">Base WACC</t>
        </is>
      </c>
      <c r="C4" s="8">
        <f>((((NPV(('WACC, terminal value and equity'!B11+0),'Unlevered free cash flow'!C12:G12)*((1+('WACC, terminal value and equity'!B11+0))^0.5))+(('Unlevered free cash flow'!G4*('WACC, terminal value and equity'!B13+-2))/((1+('WACC, terminal value and equity'!B11+0))^'Unlevered free cash flow'!G13)))-'WACC, terminal value and equity'!B14)/'WACC, terminal value and equity'!B15)</f>
        <v>64.6533552322668</v>
      </c>
      <c r="D4" s="8">
        <f>((((NPV(('WACC, terminal value and equity'!B11+0),'Unlevered free cash flow'!C12:G12)*((1+('WACC, terminal value and equity'!B11+0))^0.5))+(('Unlevered free cash flow'!G4*('WACC, terminal value and equity'!B13+-1))/((1+('WACC, terminal value and equity'!B11+0))^'Unlevered free cash flow'!G13)))-'WACC, terminal value and equity'!B14)/'WACC, terminal value and equity'!B15)</f>
        <v>68.74667765296822</v>
      </c>
      <c r="E4" s="8">
        <f>((((NPV(('WACC, terminal value and equity'!B11+0),'Unlevered free cash flow'!C12:G12)*((1+('WACC, terminal value and equity'!B11+0))^0.5))+(('Unlevered free cash flow'!G4*('WACC, terminal value and equity'!B13+0))/((1+('WACC, terminal value and equity'!B11+0))^'Unlevered free cash flow'!G13)))-'WACC, terminal value and equity'!B14)/'WACC, terminal value and equity'!B15)</f>
        <v>72.84000007366966</v>
      </c>
      <c r="F4" s="8">
        <f>((((NPV(('WACC, terminal value and equity'!B11+0),'Unlevered free cash flow'!C12:G12)*((1+('WACC, terminal value and equity'!B11+0))^0.5))+(('Unlevered free cash flow'!G4*('WACC, terminal value and equity'!B13+1))/((1+('WACC, terminal value and equity'!B11+0))^'Unlevered free cash flow'!G13)))-'WACC, terminal value and equity'!B14)/'WACC, terminal value and equity'!B15)</f>
        <v>76.9333224943711</v>
      </c>
      <c r="G4" s="8">
        <f>((((NPV(('WACC, terminal value and equity'!B11+0),'Unlevered free cash flow'!C12:G12)*((1+('WACC, terminal value and equity'!B11+0))^0.5))+(('Unlevered free cash flow'!G4*('WACC, terminal value and equity'!B13+2))/((1+('WACC, terminal value and equity'!B11+0))^'Unlevered free cash flow'!G13)))-'WACC, terminal value and equity'!B14)/'WACC, terminal value and equity'!B15)</f>
        <v>81.02664491507251</v>
      </c>
    </row>
    <row r="5">
      <c r="A5" s="0" t="inlineStr">
        <is>
          <t xml:space="preserve">Equity value per share ($)</t>
        </is>
      </c>
      <c r="B5" s="0" t="inlineStr">
        <is>
          <t xml:space="preserve">+50 bp</t>
        </is>
      </c>
      <c r="C5" s="8">
        <f>((((NPV(('WACC, terminal value and equity'!B11+0.005),'Unlevered free cash flow'!C12:G12)*((1+('WACC, terminal value and equity'!B11+0.005))^0.5))+(('Unlevered free cash flow'!G4*('WACC, terminal value and equity'!B13+-2))/((1+('WACC, terminal value and equity'!B11+0.005))^'Unlevered free cash flow'!G13)))-'WACC, terminal value and equity'!B14)/'WACC, terminal value and equity'!B15)</f>
        <v>63.218370926747575</v>
      </c>
      <c r="D5" s="8">
        <f>((((NPV(('WACC, terminal value and equity'!B11+0.005),'Unlevered free cash flow'!C12:G12)*((1+('WACC, terminal value and equity'!B11+0.005))^0.5))+(('Unlevered free cash flow'!G4*('WACC, terminal value and equity'!B13+-1))/((1+('WACC, terminal value and equity'!B11+0.005))^'Unlevered free cash flow'!G13)))-'WACC, terminal value and equity'!B14)/'WACC, terminal value and equity'!B15)</f>
        <v>67.21874111370859</v>
      </c>
      <c r="E5" s="8">
        <f>((((NPV(('WACC, terminal value and equity'!B11+0.005),'Unlevered free cash flow'!C12:G12)*((1+('WACC, terminal value and equity'!B11+0.005))^0.5))+(('Unlevered free cash flow'!G4*('WACC, terminal value and equity'!B13+0))/((1+('WACC, terminal value and equity'!B11+0.005))^'Unlevered free cash flow'!G13)))-'WACC, terminal value and equity'!B14)/'WACC, terminal value and equity'!B15)</f>
        <v>71.21911130066961</v>
      </c>
      <c r="F5" s="8">
        <f>((((NPV(('WACC, terminal value and equity'!B11+0.005),'Unlevered free cash flow'!C12:G12)*((1+('WACC, terminal value and equity'!B11+0.005))^0.5))+(('Unlevered free cash flow'!G4*('WACC, terminal value and equity'!B13+1))/((1+('WACC, terminal value and equity'!B11+0.005))^'Unlevered free cash flow'!G13)))-'WACC, terminal value and equity'!B14)/'WACC, terminal value and equity'!B15)</f>
        <v>75.21948148763063</v>
      </c>
      <c r="G5" s="8">
        <f>((((NPV(('WACC, terminal value and equity'!B11+0.005),'Unlevered free cash flow'!C12:G12)*((1+('WACC, terminal value and equity'!B11+0.005))^0.5))+(('Unlevered free cash flow'!G4*('WACC, terminal value and equity'!B13+2))/((1+('WACC, terminal value and equity'!B11+0.005))^'Unlevered free cash flow'!G13)))-'WACC, terminal value and equity'!B14)/'WACC, terminal value and equity'!B15)</f>
        <v>79.21985167459164</v>
      </c>
    </row>
    <row r="6">
      <c r="A6" s="0" t="inlineStr">
        <is>
          <t xml:space="preserve">Equity value per share ($)</t>
        </is>
      </c>
      <c r="B6" s="0" t="inlineStr">
        <is>
          <t xml:space="preserve">+100 bp</t>
        </is>
      </c>
      <c r="C6" s="8">
        <f>((((NPV(('WACC, terminal value and equity'!B11+0.01),'Unlevered free cash flow'!C12:G12)*((1+('WACC, terminal value and equity'!B11+0.01))^0.5))+(('Unlevered free cash flow'!G4*('WACC, terminal value and equity'!B13+-2))/((1+('WACC, terminal value and equity'!B11+0.01))^'Unlevered free cash flow'!G13)))-'WACC, terminal value and equity'!B14)/'WACC, terminal value and equity'!B15)</f>
        <v>61.82137646258833</v>
      </c>
      <c r="D6" s="8">
        <f>((((NPV(('WACC, terminal value and equity'!B11+0.01),'Unlevered free cash flow'!C12:G12)*((1+('WACC, terminal value and equity'!B11+0.01))^0.5))+(('Unlevered free cash flow'!G4*('WACC, terminal value and equity'!B13+-1))/((1+('WACC, terminal value and equity'!B11+0.01))^'Unlevered free cash flow'!G13)))-'WACC, terminal value and equity'!B14)/'WACC, terminal value and equity'!B15)</f>
        <v>65.73131588720393</v>
      </c>
      <c r="E6" s="8">
        <f>((((NPV(('WACC, terminal value and equity'!B11+0.01),'Unlevered free cash flow'!C12:G12)*((1+('WACC, terminal value and equity'!B11+0.01))^0.5))+(('Unlevered free cash flow'!G4*('WACC, terminal value and equity'!B13+0))/((1+('WACC, terminal value and equity'!B11+0.01))^'Unlevered free cash flow'!G13)))-'WACC, terminal value and equity'!B14)/'WACC, terminal value and equity'!B15)</f>
        <v>69.64125531181953</v>
      </c>
      <c r="F6" s="8">
        <f>((((NPV(('WACC, terminal value and equity'!B11+0.01),'Unlevered free cash flow'!C12:G12)*((1+('WACC, terminal value and equity'!B11+0.01))^0.5))+(('Unlevered free cash flow'!G4*('WACC, terminal value and equity'!B13+1))/((1+('WACC, terminal value and equity'!B11+0.01))^'Unlevered free cash flow'!G13)))-'WACC, terminal value and equity'!B14)/'WACC, terminal value and equity'!B15)</f>
        <v>73.55119473643514</v>
      </c>
      <c r="G6" s="8">
        <f>((((NPV(('WACC, terminal value and equity'!B11+0.01),'Unlevered free cash flow'!C12:G12)*((1+('WACC, terminal value and equity'!B11+0.01))^0.5))+(('Unlevered free cash flow'!G4*('WACC, terminal value and equity'!B13+2))/((1+('WACC, terminal value and equity'!B11+0.01))^'Unlevered free cash flow'!G13)))-'WACC, terminal value and equity'!B14)/'WACC, terminal value and equity'!B15)</f>
        <v>77.46113416105074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fy2025</t>
        </is>
      </c>
      <c r="B2" s="0" t="inlineStr">
        <is>
          <t xml:space="preserve">FY2025</t>
        </is>
      </c>
      <c r="C2" s="16">
        <v>45658</v>
      </c>
      <c r="D2" s="16">
        <v>46022</v>
      </c>
      <c r="E2" s="0" t="inlineStr">
        <is>
          <t xml:space="preserve">hist</t>
        </is>
      </c>
      <c r="F2" s="4">
        <v>2025</v>
      </c>
      <c r="G2" s="0" t="inlineStr">
        <is>
          <t xml:space="preserve">Q1 2025</t>
        </is>
      </c>
      <c r="H2" s="4">
        <v>0</v>
      </c>
    </row>
    <row r="3">
      <c r="A3" s="0" t="inlineStr">
        <is>
          <t xml:space="preserve">fy2026</t>
        </is>
      </c>
      <c r="B3" s="0" t="inlineStr">
        <is>
          <t xml:space="preserve">FY2026</t>
        </is>
      </c>
      <c r="C3" s="16">
        <v>46023</v>
      </c>
      <c r="D3" s="16">
        <v>46387</v>
      </c>
      <c r="E3" s="0" t="inlineStr">
        <is>
          <t xml:space="preserve">fcst</t>
        </is>
      </c>
      <c r="F3" s="4">
        <v>2026</v>
      </c>
      <c r="G3" s="0" t="inlineStr">
        <is>
          <t xml:space="preserve">Q1 2026</t>
        </is>
      </c>
      <c r="H3" s="4">
        <v>1</v>
      </c>
    </row>
    <row r="4">
      <c r="A4" s="0" t="inlineStr">
        <is>
          <t xml:space="preserve">fy2027</t>
        </is>
      </c>
      <c r="B4" s="0" t="inlineStr">
        <is>
          <t xml:space="preserve">FY2027</t>
        </is>
      </c>
      <c r="C4" s="16">
        <v>46388</v>
      </c>
      <c r="D4" s="16">
        <v>46752</v>
      </c>
      <c r="E4" s="0" t="inlineStr">
        <is>
          <t xml:space="preserve">fcst</t>
        </is>
      </c>
      <c r="F4" s="4">
        <v>2027</v>
      </c>
      <c r="G4" s="0" t="inlineStr">
        <is>
          <t xml:space="preserve">Q1 2027</t>
        </is>
      </c>
      <c r="H4" s="4">
        <v>2</v>
      </c>
    </row>
    <row r="5">
      <c r="A5" s="0" t="inlineStr">
        <is>
          <t xml:space="preserve">fy2028</t>
        </is>
      </c>
      <c r="B5" s="0" t="inlineStr">
        <is>
          <t xml:space="preserve">FY2028</t>
        </is>
      </c>
      <c r="C5" s="16">
        <v>46753</v>
      </c>
      <c r="D5" s="16">
        <v>47118</v>
      </c>
      <c r="E5" s="0" t="inlineStr">
        <is>
          <t xml:space="preserve">fcst</t>
        </is>
      </c>
      <c r="F5" s="4">
        <v>2028</v>
      </c>
      <c r="G5" s="0" t="inlineStr">
        <is>
          <t xml:space="preserve">Q1 2028</t>
        </is>
      </c>
      <c r="H5" s="4">
        <v>3</v>
      </c>
    </row>
    <row r="6">
      <c r="A6" s="0" t="inlineStr">
        <is>
          <t xml:space="preserve">fy2029</t>
        </is>
      </c>
      <c r="B6" s="0" t="inlineStr">
        <is>
          <t xml:space="preserve">FY2029</t>
        </is>
      </c>
      <c r="C6" s="16">
        <v>47119</v>
      </c>
      <c r="D6" s="16">
        <v>47483</v>
      </c>
      <c r="E6" s="0" t="inlineStr">
        <is>
          <t xml:space="preserve">fcst</t>
        </is>
      </c>
      <c r="F6" s="4">
        <v>2029</v>
      </c>
      <c r="G6" s="0" t="inlineStr">
        <is>
          <t xml:space="preserve">Q1 2029</t>
        </is>
      </c>
      <c r="H6" s="4">
        <v>4</v>
      </c>
    </row>
    <row r="7">
      <c r="A7" s="0" t="inlineStr">
        <is>
          <t xml:space="preserve">fy2030</t>
        </is>
      </c>
      <c r="B7" s="0" t="inlineStr">
        <is>
          <t xml:space="preserve">FY2030</t>
        </is>
      </c>
      <c r="C7" s="16">
        <v>47484</v>
      </c>
      <c r="D7" s="16">
        <v>47848</v>
      </c>
      <c r="E7" s="0" t="inlineStr">
        <is>
          <t xml:space="preserve">fcst</t>
        </is>
      </c>
      <c r="F7" s="4">
        <v>2030</v>
      </c>
      <c r="G7" s="0" t="inlineStr">
        <is>
          <t xml:space="preserve">Q1 2030</t>
        </is>
      </c>
      <c r="H7" s="4">
        <v>5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perpetuity</t>
        </is>
      </c>
      <c r="B2" s="0" t="inlineStr">
        <is>
          <t xml:space="preserve">Perpetuity growth</t>
        </is>
      </c>
    </row>
    <row r="3">
      <c r="A3" s="0" t="inlineStr">
        <is>
          <t xml:space="preserve">exit_multiple</t>
        </is>
      </c>
      <c r="B3" s="0" t="inlineStr">
        <is>
          <t xml:space="preserve">Exit multiple</t>
        </is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delta</t>
        </is>
      </c>
    </row>
    <row r="2">
      <c r="A2" s="0" t="inlineStr">
        <is>
          <t xml:space="preserve">w_m100</t>
        </is>
      </c>
      <c r="B2" s="0" t="inlineStr">
        <is>
          <t xml:space="preserve">WACC −100 bp</t>
        </is>
      </c>
      <c r="C2" s="8">
        <v>-0.01</v>
      </c>
    </row>
    <row r="3">
      <c r="A3" s="0" t="inlineStr">
        <is>
          <t xml:space="preserve">w_m50</t>
        </is>
      </c>
      <c r="B3" s="0" t="inlineStr">
        <is>
          <t xml:space="preserve">−50 bp</t>
        </is>
      </c>
      <c r="C3" s="8">
        <v>-0.005</v>
      </c>
    </row>
    <row r="4">
      <c r="A4" s="0" t="inlineStr">
        <is>
          <t xml:space="preserve">w_base</t>
        </is>
      </c>
      <c r="B4" s="0" t="inlineStr">
        <is>
          <t xml:space="preserve">Base WACC</t>
        </is>
      </c>
      <c r="C4" s="8">
        <v>0</v>
      </c>
    </row>
    <row r="5">
      <c r="A5" s="0" t="inlineStr">
        <is>
          <t xml:space="preserve">w_p50</t>
        </is>
      </c>
      <c r="B5" s="0" t="inlineStr">
        <is>
          <t xml:space="preserve">+50 bp</t>
        </is>
      </c>
      <c r="C5" s="8">
        <v>0.005</v>
      </c>
    </row>
    <row r="6">
      <c r="A6" s="0" t="inlineStr">
        <is>
          <t xml:space="preserve">w_p100</t>
        </is>
      </c>
      <c r="B6" s="0" t="inlineStr">
        <is>
          <t xml:space="preserve">+100 bp</t>
        </is>
      </c>
      <c r="C6" s="8">
        <v>0.01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delta</t>
        </is>
      </c>
    </row>
    <row r="2">
      <c r="A2" s="0" t="inlineStr">
        <is>
          <t xml:space="preserve">g_m100</t>
        </is>
      </c>
      <c r="B2" s="0" t="inlineStr">
        <is>
          <t xml:space="preserve">g −100 bp</t>
        </is>
      </c>
      <c r="C2" s="8">
        <v>-0.01</v>
      </c>
    </row>
    <row r="3">
      <c r="A3" s="0" t="inlineStr">
        <is>
          <t xml:space="preserve">g_m50</t>
        </is>
      </c>
      <c r="B3" s="0" t="inlineStr">
        <is>
          <t xml:space="preserve">−50 bp</t>
        </is>
      </c>
      <c r="C3" s="8">
        <v>-0.005</v>
      </c>
    </row>
    <row r="4">
      <c r="A4" s="0" t="inlineStr">
        <is>
          <t xml:space="preserve">g_base</t>
        </is>
      </c>
      <c r="B4" s="0" t="inlineStr">
        <is>
          <t xml:space="preserve">Base growth</t>
        </is>
      </c>
      <c r="C4" s="8">
        <v>0</v>
      </c>
    </row>
    <row r="5">
      <c r="A5" s="0" t="inlineStr">
        <is>
          <t xml:space="preserve">g_p50</t>
        </is>
      </c>
      <c r="B5" s="0" t="inlineStr">
        <is>
          <t xml:space="preserve">+50 bp</t>
        </is>
      </c>
      <c r="C5" s="8">
        <v>0.005</v>
      </c>
    </row>
    <row r="6">
      <c r="A6" s="0" t="inlineStr">
        <is>
          <t xml:space="preserve">g_p100</t>
        </is>
      </c>
      <c r="B6" s="0" t="inlineStr">
        <is>
          <t xml:space="preserve">+100 bp</t>
        </is>
      </c>
      <c r="C6" s="8">
        <v>0.01</v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delta</t>
        </is>
      </c>
    </row>
    <row r="2">
      <c r="A2" s="0" t="inlineStr">
        <is>
          <t xml:space="preserve">m_m2</t>
        </is>
      </c>
      <c r="B2" s="0" t="inlineStr">
        <is>
          <t xml:space="preserve">Multiple −2.0x</t>
        </is>
      </c>
      <c r="C2" s="4">
        <v>-2</v>
      </c>
    </row>
    <row r="3">
      <c r="A3" s="0" t="inlineStr">
        <is>
          <t xml:space="preserve">m_m1</t>
        </is>
      </c>
      <c r="B3" s="0" t="inlineStr">
        <is>
          <t xml:space="preserve">−1.0x</t>
        </is>
      </c>
      <c r="C3" s="4">
        <v>-1</v>
      </c>
    </row>
    <row r="4">
      <c r="A4" s="0" t="inlineStr">
        <is>
          <t xml:space="preserve">m_base</t>
        </is>
      </c>
      <c r="B4" s="0" t="inlineStr">
        <is>
          <t xml:space="preserve">Base multiple</t>
        </is>
      </c>
      <c r="C4" s="4">
        <v>0</v>
      </c>
    </row>
    <row r="5">
      <c r="A5" s="0" t="inlineStr">
        <is>
          <t xml:space="preserve">m_p1</t>
        </is>
      </c>
      <c r="B5" s="0" t="inlineStr">
        <is>
          <t xml:space="preserve">+1.0x</t>
        </is>
      </c>
      <c r="C5" s="4">
        <v>1</v>
      </c>
    </row>
    <row r="6">
      <c r="A6" s="0" t="inlineStr">
        <is>
          <t xml:space="preserve">m_p2</t>
        </is>
      </c>
      <c r="B6" s="0" t="inlineStr">
        <is>
          <t xml:space="preserve">+2.0x</t>
        </is>
      </c>
      <c r="C6" s="4">
        <v>2</v>
      </c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revenue_growth</t>
        </is>
      </c>
      <c r="B2" s="0" t="inlineStr">
        <is>
          <t xml:space="preserve">Revenue growth</t>
        </is>
      </c>
      <c r="C2" s="0" t="inlineStr">
        <is>
          <t xml:space="preserve">percent</t>
        </is>
      </c>
    </row>
    <row r="3">
      <c r="A3" s="0" t="inlineStr">
        <is>
          <t xml:space="preserve">ebitda_margin</t>
        </is>
      </c>
      <c r="B3" s="0" t="inlineStr">
        <is>
          <t xml:space="preserve">EBITDA margin</t>
        </is>
      </c>
      <c r="C3" s="0" t="inlineStr">
        <is>
          <t xml:space="preserve">percent</t>
        </is>
      </c>
    </row>
    <row r="4">
      <c r="A4" s="0" t="inlineStr">
        <is>
          <t xml:space="preserve">da_pct</t>
        </is>
      </c>
      <c r="B4" s="0" t="inlineStr">
        <is>
          <t xml:space="preserve">D&amp;A, % of revenue</t>
        </is>
      </c>
      <c r="C4" s="0" t="inlineStr">
        <is>
          <t xml:space="preserve">percent</t>
        </is>
      </c>
    </row>
    <row r="5">
      <c r="A5" s="0" t="inlineStr">
        <is>
          <t xml:space="preserve">capex_pct</t>
        </is>
      </c>
      <c r="B5" s="0" t="inlineStr">
        <is>
          <t xml:space="preserve">Capex, % of revenue</t>
        </is>
      </c>
      <c r="C5" s="0" t="inlineStr">
        <is>
          <t xml:space="preserve">percent</t>
        </is>
      </c>
    </row>
    <row r="6">
      <c r="A6" s="0" t="inlineStr">
        <is>
          <t xml:space="preserve">nwc_pct</t>
        </is>
      </c>
      <c r="B6" s="0" t="inlineStr">
        <is>
          <t xml:space="preserve">Net working capital, % of revenue change</t>
        </is>
      </c>
      <c r="C6" s="0" t="inlineStr">
        <is>
          <t xml:space="preserve">percent</t>
        </is>
      </c>
    </row>
    <row r="7">
      <c r="A7" s="0" t="inlineStr">
        <is>
          <t xml:space="preserve">tax_rate</t>
        </is>
      </c>
      <c r="B7" s="0" t="inlineStr">
        <is>
          <t xml:space="preserve">Cash tax rate</t>
        </is>
      </c>
      <c r="C7" s="0" t="inlineStr">
        <is>
          <t xml:space="preserve">percent</t>
        </is>
      </c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risk_free</t>
        </is>
      </c>
      <c r="B2" s="0" t="inlineStr">
        <is>
          <t xml:space="preserve">Risk-free rate</t>
        </is>
      </c>
      <c r="C2" s="0" t="inlineStr">
        <is>
          <t xml:space="preserve">percent</t>
        </is>
      </c>
    </row>
    <row r="3">
      <c r="A3" s="0" t="inlineStr">
        <is>
          <t xml:space="preserve">beta</t>
        </is>
      </c>
      <c r="B3" s="0" t="inlineStr">
        <is>
          <t xml:space="preserve">Levered beta</t>
        </is>
      </c>
      <c r="C3" s="0"/>
    </row>
    <row r="4">
      <c r="A4" s="0" t="inlineStr">
        <is>
          <t xml:space="preserve">erp</t>
        </is>
      </c>
      <c r="B4" s="0" t="inlineStr">
        <is>
          <t xml:space="preserve">Equity risk premium</t>
        </is>
      </c>
      <c r="C4" s="0" t="inlineStr">
        <is>
          <t xml:space="preserve">percent</t>
        </is>
      </c>
    </row>
    <row r="5">
      <c r="A5" s="0" t="inlineStr">
        <is>
          <t xml:space="preserve">cost_of_equity</t>
        </is>
      </c>
      <c r="B5" s="0" t="inlineStr">
        <is>
          <t xml:space="preserve">Cost of equity</t>
        </is>
      </c>
      <c r="C5" s="0" t="inlineStr">
        <is>
          <t xml:space="preserve">percent</t>
        </is>
      </c>
    </row>
    <row r="6">
      <c r="A6" s="0" t="inlineStr">
        <is>
          <t xml:space="preserve">pre_tax_cost_of_debt</t>
        </is>
      </c>
      <c r="B6" s="0" t="inlineStr">
        <is>
          <t xml:space="preserve">Pre-tax cost of debt</t>
        </is>
      </c>
      <c r="C6" s="0" t="inlineStr">
        <is>
          <t xml:space="preserve">percent</t>
        </is>
      </c>
    </row>
    <row r="7">
      <c r="A7" s="0" t="inlineStr">
        <is>
          <t xml:space="preserve">tax_rate</t>
        </is>
      </c>
      <c r="B7" s="0" t="inlineStr">
        <is>
          <t xml:space="preserve">Tax rate</t>
        </is>
      </c>
      <c r="C7" s="0" t="inlineStr">
        <is>
          <t xml:space="preserve">percent</t>
        </is>
      </c>
    </row>
    <row r="8">
      <c r="A8" s="0" t="inlineStr">
        <is>
          <t xml:space="preserve">after_tax_cost_of_debt</t>
        </is>
      </c>
      <c r="B8" s="0" t="inlineStr">
        <is>
          <t xml:space="preserve">After-tax cost of debt</t>
        </is>
      </c>
      <c r="C8" s="0" t="inlineStr">
        <is>
          <t xml:space="preserve">percent</t>
        </is>
      </c>
    </row>
    <row r="9">
      <c r="A9" s="0" t="inlineStr">
        <is>
          <t xml:space="preserve">debt_weight</t>
        </is>
      </c>
      <c r="B9" s="0" t="inlineStr">
        <is>
          <t xml:space="preserve">Debt / (debt + equity)</t>
        </is>
      </c>
      <c r="C9" s="0" t="inlineStr">
        <is>
          <t xml:space="preserve">percent</t>
        </is>
      </c>
    </row>
    <row r="10">
      <c r="A10" s="0" t="inlineStr">
        <is>
          <t xml:space="preserve">equity_weight</t>
        </is>
      </c>
      <c r="B10" s="0" t="inlineStr">
        <is>
          <t xml:space="preserve">Equity / (debt + equity)</t>
        </is>
      </c>
      <c r="C10" s="0" t="inlineStr">
        <is>
          <t xml:space="preserve">percent</t>
        </is>
      </c>
    </row>
    <row r="11">
      <c r="A11" s="0" t="inlineStr">
        <is>
          <t xml:space="preserve">wacc</t>
        </is>
      </c>
      <c r="B11" s="0" t="inlineStr">
        <is>
          <t xml:space="preserve">WACC</t>
        </is>
      </c>
      <c r="C11" s="0" t="inlineStr">
        <is>
          <t xml:space="preserve">percent</t>
        </is>
      </c>
    </row>
    <row r="12">
      <c r="A12" s="0" t="inlineStr">
        <is>
          <t xml:space="preserve">terminal_growth</t>
        </is>
      </c>
      <c r="B12" s="0" t="inlineStr">
        <is>
          <t xml:space="preserve">Terminal growth rate</t>
        </is>
      </c>
      <c r="C12" s="0" t="inlineStr">
        <is>
          <t xml:space="preserve">percent</t>
        </is>
      </c>
    </row>
    <row r="13">
      <c r="A13" s="0" t="inlineStr">
        <is>
          <t xml:space="preserve">exit_multiple</t>
        </is>
      </c>
      <c r="B13" s="0" t="inlineStr">
        <is>
          <t xml:space="preserve">Exit multiple, EV / EBITDA (x)</t>
        </is>
      </c>
      <c r="C13" s="0"/>
    </row>
    <row r="14">
      <c r="A14" s="0" t="inlineStr">
        <is>
          <t xml:space="preserve">net_debt</t>
        </is>
      </c>
      <c r="B14" s="0" t="inlineStr">
        <is>
          <t xml:space="preserve">Net debt</t>
        </is>
      </c>
      <c r="C14" s="0"/>
    </row>
    <row r="15">
      <c r="A15" s="0" t="inlineStr">
        <is>
          <t xml:space="preserve">shares</t>
        </is>
      </c>
      <c r="B15" s="0" t="inlineStr">
        <is>
          <t xml:space="preserve">Diluted shares (M)</t>
        </is>
      </c>
      <c r="C15" s="0"/>
    </row>
    <row r="16">
      <c r="A16" s="0" t="inlineStr">
        <is>
          <t xml:space="preserve">current_price</t>
        </is>
      </c>
      <c r="B16" s="0" t="inlineStr">
        <is>
          <t xml:space="preserve">Current share price ($)</t>
        </is>
      </c>
      <c r="C16" s="0"/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revenue</t>
        </is>
      </c>
      <c r="B2" s="0" t="inlineStr">
        <is>
          <t xml:space="preserve">Revenue</t>
        </is>
      </c>
      <c r="C2" s="0"/>
    </row>
    <row r="3">
      <c r="A3" s="0" t="inlineStr">
        <is>
          <t xml:space="preserve">revenue_growth</t>
        </is>
      </c>
      <c r="B3" s="0" t="inlineStr">
        <is>
          <t xml:space="preserve">Revenue growth</t>
        </is>
      </c>
      <c r="C3" s="0" t="inlineStr">
        <is>
          <t xml:space="preserve">percent</t>
        </is>
      </c>
    </row>
    <row r="4">
      <c r="A4" s="0" t="inlineStr">
        <is>
          <t xml:space="preserve">ebitda</t>
        </is>
      </c>
      <c r="B4" s="0" t="inlineStr">
        <is>
          <t xml:space="preserve">EBITDA</t>
        </is>
      </c>
      <c r="C4" s="0"/>
    </row>
    <row r="5">
      <c r="A5" s="0" t="inlineStr">
        <is>
          <t xml:space="preserve">ebitda_margin</t>
        </is>
      </c>
      <c r="B5" s="0" t="inlineStr">
        <is>
          <t xml:space="preserve">EBITDA margin</t>
        </is>
      </c>
      <c r="C5" s="0" t="inlineStr">
        <is>
          <t xml:space="preserve">percent</t>
        </is>
      </c>
    </row>
    <row r="6">
      <c r="A6" s="0" t="inlineStr">
        <is>
          <t xml:space="preserve">da</t>
        </is>
      </c>
      <c r="B6" s="0" t="inlineStr">
        <is>
          <t xml:space="preserve">Less: D&amp;A</t>
        </is>
      </c>
      <c r="C6" s="0"/>
    </row>
    <row r="7">
      <c r="A7" s="0" t="inlineStr">
        <is>
          <t xml:space="preserve">ebit</t>
        </is>
      </c>
      <c r="B7" s="0" t="inlineStr">
        <is>
          <t xml:space="preserve">EBIT</t>
        </is>
      </c>
      <c r="C7" s="0"/>
    </row>
    <row r="8">
      <c r="A8" s="0" t="inlineStr">
        <is>
          <t xml:space="preserve">tax</t>
        </is>
      </c>
      <c r="B8" s="0" t="inlineStr">
        <is>
          <t xml:space="preserve">Less: cash taxes</t>
        </is>
      </c>
      <c r="C8" s="0"/>
    </row>
    <row r="9">
      <c r="A9" s="0" t="inlineStr">
        <is>
          <t xml:space="preserve">nopat</t>
        </is>
      </c>
      <c r="B9" s="0" t="inlineStr">
        <is>
          <t xml:space="preserve">NOPAT</t>
        </is>
      </c>
      <c r="C9" s="0"/>
    </row>
    <row r="10">
      <c r="A10" s="0" t="inlineStr">
        <is>
          <t xml:space="preserve">capex</t>
        </is>
      </c>
      <c r="B10" s="0" t="inlineStr">
        <is>
          <t xml:space="preserve">Less: capex</t>
        </is>
      </c>
      <c r="C10" s="0"/>
    </row>
    <row r="11">
      <c r="A11" s="0" t="inlineStr">
        <is>
          <t xml:space="preserve">nwc_change</t>
        </is>
      </c>
      <c r="B11" s="0" t="inlineStr">
        <is>
          <t xml:space="preserve">Less: increase in net working capital</t>
        </is>
      </c>
      <c r="C11" s="0"/>
    </row>
    <row r="12">
      <c r="A12" s="0" t="inlineStr">
        <is>
          <t xml:space="preserve">ufcf</t>
        </is>
      </c>
      <c r="B12" s="0" t="inlineStr">
        <is>
          <t xml:space="preserve">Unlevered free cash flow</t>
        </is>
      </c>
      <c r="C12" s="0"/>
    </row>
    <row r="13">
      <c r="A13" s="0" t="inlineStr">
        <is>
          <t xml:space="preserve">n</t>
        </is>
      </c>
      <c r="B13" s="0" t="inlineStr">
        <is>
          <t xml:space="preserve">Year (from valuation date)</t>
        </is>
      </c>
      <c r="C13" s="0"/>
    </row>
    <row r="14">
      <c r="A14" s="0" t="inlineStr">
        <is>
          <t xml:space="preserve">discount_factor</t>
        </is>
      </c>
      <c r="B14" s="0" t="inlineStr">
        <is>
          <t xml:space="preserve">Discount factor (mid-year)</t>
        </is>
      </c>
      <c r="C14" s="0"/>
    </row>
    <row r="15">
      <c r="A15" s="0" t="inlineStr">
        <is>
          <t xml:space="preserve">pv_ufcf</t>
        </is>
      </c>
      <c r="B15" s="0" t="inlineStr">
        <is>
          <t xml:space="preserve">PV of unlevered free cash flow</t>
        </is>
      </c>
      <c r="C15" s="0"/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sum_pv_ufcf</t>
        </is>
      </c>
      <c r="B2" s="0" t="inlineStr">
        <is>
          <t xml:space="preserve">PV of forecast cash flows</t>
        </is>
      </c>
      <c r="C2" s="0"/>
    </row>
    <row r="3">
      <c r="A3" s="0" t="inlineStr">
        <is>
          <t xml:space="preserve">terminal_value</t>
        </is>
      </c>
      <c r="B3" s="0" t="inlineStr">
        <is>
          <t xml:space="preserve">Terminal value</t>
        </is>
      </c>
      <c r="C3" s="0"/>
    </row>
    <row r="4">
      <c r="A4" s="0" t="inlineStr">
        <is>
          <t xml:space="preserve">pv_terminal</t>
        </is>
      </c>
      <c r="B4" s="0" t="inlineStr">
        <is>
          <t xml:space="preserve">PV of terminal value</t>
        </is>
      </c>
      <c r="C4" s="0"/>
    </row>
    <row r="5">
      <c r="A5" s="0" t="inlineStr">
        <is>
          <t xml:space="preserve">enterprise_value</t>
        </is>
      </c>
      <c r="B5" s="0" t="inlineStr">
        <is>
          <t xml:space="preserve">Enterprise value</t>
        </is>
      </c>
      <c r="C5" s="0"/>
    </row>
    <row r="6">
      <c r="A6" s="0" t="inlineStr">
        <is>
          <t xml:space="preserve">net_debt</t>
        </is>
      </c>
      <c r="B6" s="0" t="inlineStr">
        <is>
          <t xml:space="preserve">Less: net debt</t>
        </is>
      </c>
      <c r="C6" s="0"/>
    </row>
    <row r="7">
      <c r="A7" s="0" t="inlineStr">
        <is>
          <t xml:space="preserve">equity_value</t>
        </is>
      </c>
      <c r="B7" s="0" t="inlineStr">
        <is>
          <t xml:space="preserve">Equity value</t>
        </is>
      </c>
      <c r="C7" s="0"/>
    </row>
    <row r="8">
      <c r="A8" s="0" t="inlineStr">
        <is>
          <t xml:space="preserve">per_share</t>
        </is>
      </c>
      <c r="B8" s="0" t="inlineStr">
        <is>
          <t xml:space="preserve">Equity value per share ($)</t>
        </is>
      </c>
      <c r="C8" s="0"/>
    </row>
    <row r="9">
      <c r="A9" s="0" t="inlineStr">
        <is>
          <t xml:space="preserve">current_price</t>
        </is>
      </c>
      <c r="B9" s="0" t="inlineStr">
        <is>
          <t xml:space="preserve">Current share price ($)</t>
        </is>
      </c>
      <c r="C9" s="0"/>
    </row>
    <row r="10">
      <c r="A10" s="0" t="inlineStr">
        <is>
          <t xml:space="preserve">premium</t>
        </is>
      </c>
      <c r="B10" s="0" t="inlineStr">
        <is>
          <t xml:space="preserve">Implied premium to current</t>
        </is>
      </c>
      <c r="C10" s="0" t="inlineStr">
        <is>
          <t xml:space="preserve">percent</t>
        </is>
      </c>
    </row>
    <row r="11">
      <c r="A11" s="0" t="inlineStr">
        <is>
          <t xml:space="preserve">tv_share</t>
        </is>
      </c>
      <c r="B11" s="0" t="inlineStr">
        <is>
          <t xml:space="preserve">Terminal value, % of EV</t>
        </is>
      </c>
      <c r="C11" s="0" t="inlineStr">
        <is>
          <t xml:space="preserve">percent</t>
        </is>
      </c>
    </row>
    <row r="12">
      <c r="A12" s="0" t="inlineStr">
        <is>
          <t xml:space="preserve">implied_multiple</t>
        </is>
      </c>
      <c r="B12" s="0" t="inlineStr">
        <is>
          <t xml:space="preserve">Implied exit multiple, EV / EBITDA (x)</t>
        </is>
      </c>
      <c r="C12" s="0"/>
    </row>
    <row r="13">
      <c r="A13" s="0" t="inlineStr">
        <is>
          <t xml:space="preserve">implied_growth</t>
        </is>
      </c>
      <c r="B13" s="0" t="inlineStr">
        <is>
          <t xml:space="preserve">Implied perpetuity growth</t>
        </is>
      </c>
      <c r="C13" s="0" t="inlineStr">
        <is>
          <t xml:space="preserve">percent</t>
        </is>
      </c>
    </row>
    <row r="14">
      <c r="A14" s="0" t="inlineStr">
        <is>
          <t xml:space="preserve">ev_ltm_ebitda</t>
        </is>
      </c>
      <c r="B14" s="0" t="inlineStr">
        <is>
          <t xml:space="preserve">Implied EV / LTM EBITDA (x)</t>
        </is>
      </c>
      <c r="C14" s="0"/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per_share</t>
        </is>
      </c>
      <c r="B2" s="0" t="inlineStr">
        <is>
          <t xml:space="preserve">Equity value per share ($)</t>
        </is>
      </c>
      <c r="C2" s="0"/>
    </row>
  </sheetData>
</worksheet>
</file>

<file path=xl/worksheets/sheet1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per_share</t>
        </is>
      </c>
      <c r="B2" s="0" t="inlineStr">
        <is>
          <t xml:space="preserve">Equity value per share ($)</t>
        </is>
      </c>
      <c r="C2" s="0"/>
    </row>
  </sheetData>
</worksheet>
</file>

<file path=xl/worksheets/sheet1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wacc</t>
        </is>
      </c>
      <c r="B2" s="0" t="inlineStr">
        <is>
          <t xml:space="preserve">value</t>
        </is>
      </c>
      <c r="C2" s="0" t="inlineStr">
        <is>
          <t xml:space="preserve">line = cost_of_equity</t>
        </is>
      </c>
      <c r="D2" s="20" t="inlineStr">
        <is>
          <t xml:space="preserve">risk_free + beta * erp</t>
        </is>
      </c>
      <c r="E2" s="0" t="inlineStr">
        <is>
          <t xml:space="preserve">ok</t>
        </is>
      </c>
    </row>
    <row r="3">
      <c r="A3" s="0" t="inlineStr">
        <is>
          <t xml:space="preserve">wacc</t>
        </is>
      </c>
      <c r="B3" s="0" t="inlineStr">
        <is>
          <t xml:space="preserve">value</t>
        </is>
      </c>
      <c r="C3" s="0" t="inlineStr">
        <is>
          <t xml:space="preserve">line = after_tax_cost_of_debt</t>
        </is>
      </c>
      <c r="D3" s="20" t="inlineStr">
        <is>
          <t xml:space="preserve">pre_tax_cost_of_debt * (1 - tax_rate)</t>
        </is>
      </c>
      <c r="E3" s="0" t="inlineStr">
        <is>
          <t xml:space="preserve">ok</t>
        </is>
      </c>
    </row>
    <row r="4">
      <c r="A4" s="0" t="inlineStr">
        <is>
          <t xml:space="preserve">wacc</t>
        </is>
      </c>
      <c r="B4" s="0" t="inlineStr">
        <is>
          <t xml:space="preserve">value</t>
        </is>
      </c>
      <c r="C4" s="0" t="inlineStr">
        <is>
          <t xml:space="preserve">line = equity_weight</t>
        </is>
      </c>
      <c r="D4" s="20" t="inlineStr">
        <is>
          <t xml:space="preserve">1 - debt_weight</t>
        </is>
      </c>
      <c r="E4" s="0" t="inlineStr">
        <is>
          <t xml:space="preserve">ok</t>
        </is>
      </c>
    </row>
    <row r="5">
      <c r="A5" s="0" t="inlineStr">
        <is>
          <t xml:space="preserve">wacc</t>
        </is>
      </c>
      <c r="B5" s="0" t="inlineStr">
        <is>
          <t xml:space="preserve">value</t>
        </is>
      </c>
      <c r="C5" s="0" t="inlineStr">
        <is>
          <t xml:space="preserve">line = wacc</t>
        </is>
      </c>
      <c r="D5" s="20" t="inlineStr">
        <is>
          <t xml:space="preserve">equity_weight * cost_of_equity + debt_weight * after_tax_cost_of_debt</t>
        </is>
      </c>
      <c r="E5" s="0" t="inlineStr">
        <is>
          <t xml:space="preserve">ok</t>
        </is>
      </c>
    </row>
    <row r="6">
      <c r="A6" s="0" t="inlineStr">
        <is>
          <t xml:space="preserve">fcf</t>
        </is>
      </c>
      <c r="B6" s="0" t="inlineStr">
        <is>
          <t xml:space="preserve">value</t>
        </is>
      </c>
      <c r="C6" s="0" t="inlineStr">
        <is>
          <t xml:space="preserve">line = revenue, frame = fcst</t>
        </is>
      </c>
      <c r="D6" s="20" t="inlineStr">
        <is>
          <t xml:space="preserve">PREV(revenue) * (1 + drivers.revenue_growth)</t>
        </is>
      </c>
      <c r="E6" s="0" t="inlineStr">
        <is>
          <t xml:space="preserve">ok</t>
        </is>
      </c>
    </row>
    <row r="7">
      <c r="A7" s="0" t="inlineStr">
        <is>
          <t xml:space="preserve">fcf</t>
        </is>
      </c>
      <c r="B7" s="0" t="inlineStr">
        <is>
          <t xml:space="preserve">value</t>
        </is>
      </c>
      <c r="C7" s="0" t="inlineStr">
        <is>
          <t xml:space="preserve">line = revenue_growth</t>
        </is>
      </c>
      <c r="D7" s="20" t="inlineStr">
        <is>
          <t xml:space="preserve">IFERROR(revenue / PREV(revenue) - 1, BLANK)</t>
        </is>
      </c>
      <c r="E7" s="0" t="inlineStr">
        <is>
          <t xml:space="preserve">ok</t>
        </is>
      </c>
    </row>
    <row r="8">
      <c r="A8" s="0" t="inlineStr">
        <is>
          <t xml:space="preserve">fcf</t>
        </is>
      </c>
      <c r="B8" s="0" t="inlineStr">
        <is>
          <t xml:space="preserve">value</t>
        </is>
      </c>
      <c r="C8" s="0" t="inlineStr">
        <is>
          <t xml:space="preserve">line = ebitda, frame = fcst</t>
        </is>
      </c>
      <c r="D8" s="20" t="inlineStr">
        <is>
          <t xml:space="preserve">revenue * drivers.ebitda_margin</t>
        </is>
      </c>
      <c r="E8" s="0" t="inlineStr">
        <is>
          <t xml:space="preserve">ok</t>
        </is>
      </c>
    </row>
    <row r="9">
      <c r="A9" s="0" t="inlineStr">
        <is>
          <t xml:space="preserve">fcf</t>
        </is>
      </c>
      <c r="B9" s="0" t="inlineStr">
        <is>
          <t xml:space="preserve">value</t>
        </is>
      </c>
      <c r="C9" s="0" t="inlineStr">
        <is>
          <t xml:space="preserve">line = ebitda_margin</t>
        </is>
      </c>
      <c r="D9" s="20" t="inlineStr">
        <is>
          <t xml:space="preserve">ebitda / revenue</t>
        </is>
      </c>
      <c r="E9" s="0" t="inlineStr">
        <is>
          <t xml:space="preserve">ok</t>
        </is>
      </c>
    </row>
    <row r="10">
      <c r="A10" s="0" t="inlineStr">
        <is>
          <t xml:space="preserve">fcf</t>
        </is>
      </c>
      <c r="B10" s="0" t="inlineStr">
        <is>
          <t xml:space="preserve">value</t>
        </is>
      </c>
      <c r="C10" s="0" t="inlineStr">
        <is>
          <t xml:space="preserve">line = da, frame = fcst</t>
        </is>
      </c>
      <c r="D10" s="20" t="inlineStr">
        <is>
          <t xml:space="preserve">revenue * drivers.da_pct</t>
        </is>
      </c>
      <c r="E10" s="0" t="inlineStr">
        <is>
          <t xml:space="preserve">ok</t>
        </is>
      </c>
    </row>
    <row r="11">
      <c r="A11" s="0" t="inlineStr">
        <is>
          <t xml:space="preserve">fcf</t>
        </is>
      </c>
      <c r="B11" s="0" t="inlineStr">
        <is>
          <t xml:space="preserve">value</t>
        </is>
      </c>
      <c r="C11" s="0" t="inlineStr">
        <is>
          <t xml:space="preserve">line = ebit</t>
        </is>
      </c>
      <c r="D11" s="20" t="inlineStr">
        <is>
          <t xml:space="preserve">ebitda - da</t>
        </is>
      </c>
      <c r="E11" s="0" t="inlineStr">
        <is>
          <t xml:space="preserve">ok</t>
        </is>
      </c>
    </row>
    <row r="12">
      <c r="A12" s="0" t="inlineStr">
        <is>
          <t xml:space="preserve">fcf</t>
        </is>
      </c>
      <c r="B12" s="0" t="inlineStr">
        <is>
          <t xml:space="preserve">value</t>
        </is>
      </c>
      <c r="C12" s="0" t="inlineStr">
        <is>
          <t xml:space="preserve">line = tax, frame = fcst</t>
        </is>
      </c>
      <c r="D12" s="20" t="inlineStr">
        <is>
          <t xml:space="preserve">IF(ebit &gt; 0, ebit * drivers.tax_rate, 0)</t>
        </is>
      </c>
      <c r="E12" s="0" t="inlineStr">
        <is>
          <t xml:space="preserve">ok</t>
        </is>
      </c>
    </row>
    <row r="13">
      <c r="A13" s="0" t="inlineStr">
        <is>
          <t xml:space="preserve">fcf</t>
        </is>
      </c>
      <c r="B13" s="0" t="inlineStr">
        <is>
          <t xml:space="preserve">value</t>
        </is>
      </c>
      <c r="C13" s="0" t="inlineStr">
        <is>
          <t xml:space="preserve">line = nopat, frame = fcst</t>
        </is>
      </c>
      <c r="D13" s="20" t="inlineStr">
        <is>
          <t xml:space="preserve">ebit - tax</t>
        </is>
      </c>
      <c r="E13" s="0" t="inlineStr">
        <is>
          <t xml:space="preserve">ok</t>
        </is>
      </c>
    </row>
    <row r="14">
      <c r="A14" s="0" t="inlineStr">
        <is>
          <t xml:space="preserve">fcf</t>
        </is>
      </c>
      <c r="B14" s="0" t="inlineStr">
        <is>
          <t xml:space="preserve">value</t>
        </is>
      </c>
      <c r="C14" s="0" t="inlineStr">
        <is>
          <t xml:space="preserve">line = capex, frame = fcst</t>
        </is>
      </c>
      <c r="D14" s="20" t="inlineStr">
        <is>
          <t xml:space="preserve">revenue * drivers.capex_pct</t>
        </is>
      </c>
      <c r="E14" s="0" t="inlineStr">
        <is>
          <t xml:space="preserve">ok</t>
        </is>
      </c>
    </row>
    <row r="15">
      <c r="A15" s="0" t="inlineStr">
        <is>
          <t xml:space="preserve">fcf</t>
        </is>
      </c>
      <c r="B15" s="0" t="inlineStr">
        <is>
          <t xml:space="preserve">value</t>
        </is>
      </c>
      <c r="C15" s="0" t="inlineStr">
        <is>
          <t xml:space="preserve">line = nwc_change, frame = fcst</t>
        </is>
      </c>
      <c r="D15" s="20" t="inlineStr">
        <is>
          <t xml:space="preserve">(revenue - PREV(revenue)) * drivers.nwc_pct</t>
        </is>
      </c>
      <c r="E15" s="0" t="inlineStr">
        <is>
          <t xml:space="preserve">ok</t>
        </is>
      </c>
    </row>
    <row r="16">
      <c r="A16" s="0" t="inlineStr">
        <is>
          <t xml:space="preserve">fcf</t>
        </is>
      </c>
      <c r="B16" s="0" t="inlineStr">
        <is>
          <t xml:space="preserve">value</t>
        </is>
      </c>
      <c r="C16" s="0" t="inlineStr">
        <is>
          <t xml:space="preserve">line = ufcf, frame = fcst</t>
        </is>
      </c>
      <c r="D16" s="20" t="inlineStr">
        <is>
          <t xml:space="preserve">nopat + da - capex - nwc_change</t>
        </is>
      </c>
      <c r="E16" s="0" t="inlineStr">
        <is>
          <t xml:space="preserve">ok</t>
        </is>
      </c>
    </row>
    <row r="17">
      <c r="A17" s="0" t="inlineStr">
        <is>
          <t xml:space="preserve">fcf</t>
        </is>
      </c>
      <c r="B17" s="0" t="inlineStr">
        <is>
          <t xml:space="preserve">value</t>
        </is>
      </c>
      <c r="C17" s="0" t="inlineStr">
        <is>
          <t xml:space="preserve">line = n</t>
        </is>
      </c>
      <c r="D17" s="20" t="inlineStr">
        <is>
          <t xml:space="preserve">period.idx</t>
        </is>
      </c>
      <c r="E17" s="0" t="inlineStr">
        <is>
          <t xml:space="preserve">ok</t>
        </is>
      </c>
    </row>
    <row r="18">
      <c r="A18" s="0" t="inlineStr">
        <is>
          <t xml:space="preserve">fcf</t>
        </is>
      </c>
      <c r="B18" s="0" t="inlineStr">
        <is>
          <t xml:space="preserve">value</t>
        </is>
      </c>
      <c r="C18" s="0" t="inlineStr">
        <is>
          <t xml:space="preserve">line = discount_factor, frame = fcst</t>
        </is>
      </c>
      <c r="D18" s="20" t="inlineStr">
        <is>
          <t xml:space="preserve">1 / (1 + wacc.wacc) ^ (n - 0.5)</t>
        </is>
      </c>
      <c r="E18" s="0" t="inlineStr">
        <is>
          <t xml:space="preserve">ok</t>
        </is>
      </c>
    </row>
    <row r="19">
      <c r="A19" s="0" t="inlineStr">
        <is>
          <t xml:space="preserve">fcf</t>
        </is>
      </c>
      <c r="B19" s="0" t="inlineStr">
        <is>
          <t xml:space="preserve">value</t>
        </is>
      </c>
      <c r="C19" s="0" t="inlineStr">
        <is>
          <t xml:space="preserve">line = pv_ufcf, frame = fcst</t>
        </is>
      </c>
      <c r="D19" s="20" t="inlineStr">
        <is>
          <t xml:space="preserve">ufcf * discount_factor</t>
        </is>
      </c>
      <c r="E19" s="0" t="inlineStr">
        <is>
          <t xml:space="preserve">ok</t>
        </is>
      </c>
    </row>
    <row r="20">
      <c r="A20" s="0" t="inlineStr">
        <is>
          <t xml:space="preserve">valuation</t>
        </is>
      </c>
      <c r="B20" s="0" t="inlineStr">
        <is>
          <t xml:space="preserve">value</t>
        </is>
      </c>
      <c r="C20" s="0" t="inlineStr">
        <is>
          <t xml:space="preserve">line = sum_pv_ufcf</t>
        </is>
      </c>
      <c r="D20" s="20" t="inlineStr">
        <is>
          <t xml:space="preserve">SUM(fcf.pv_ufcf[period.frame=fcst])</t>
        </is>
      </c>
      <c r="E20" s="0" t="inlineStr">
        <is>
          <t xml:space="preserve">ok</t>
        </is>
      </c>
    </row>
    <row r="21">
      <c r="A21" s="0" t="inlineStr">
        <is>
          <t xml:space="preserve">valuation</t>
        </is>
      </c>
      <c r="B21" s="0" t="inlineStr">
        <is>
          <t xml:space="preserve">value</t>
        </is>
      </c>
      <c r="C21" s="0" t="inlineStr">
        <is>
          <t xml:space="preserve">line = terminal_value, method = perpetuity</t>
        </is>
      </c>
      <c r="D21" s="20" t="inlineStr">
        <is>
          <t xml:space="preserve">fcf.ufcf[period=last] * (1 + wacc.terminal_growth) / (wacc.wacc - wacc.terminal_growth)</t>
        </is>
      </c>
      <c r="E21" s="0" t="inlineStr">
        <is>
          <t xml:space="preserve">ok</t>
        </is>
      </c>
    </row>
    <row r="22">
      <c r="A22" s="0" t="inlineStr">
        <is>
          <t xml:space="preserve">valuation</t>
        </is>
      </c>
      <c r="B22" s="0" t="inlineStr">
        <is>
          <t xml:space="preserve">value</t>
        </is>
      </c>
      <c r="C22" s="0" t="inlineStr">
        <is>
          <t xml:space="preserve">line = terminal_value, method = exit_multiple</t>
        </is>
      </c>
      <c r="D22" s="20" t="inlineStr">
        <is>
          <t xml:space="preserve">fcf.ebitda[period=last] * wacc.exit_multiple</t>
        </is>
      </c>
      <c r="E22" s="0" t="inlineStr">
        <is>
          <t xml:space="preserve">ok</t>
        </is>
      </c>
    </row>
    <row r="23">
      <c r="A23" s="0" t="inlineStr">
        <is>
          <t xml:space="preserve">valuation</t>
        </is>
      </c>
      <c r="B23" s="0" t="inlineStr">
        <is>
          <t xml:space="preserve">value</t>
        </is>
      </c>
      <c r="C23" s="0" t="inlineStr">
        <is>
          <t xml:space="preserve">line = pv_terminal</t>
        </is>
      </c>
      <c r="D23" s="20" t="inlineStr">
        <is>
          <t xml:space="preserve">terminal_value / (1 + wacc.wacc) ^ fcf.n[period=last]</t>
        </is>
      </c>
      <c r="E23" s="0" t="inlineStr">
        <is>
          <t xml:space="preserve">ok</t>
        </is>
      </c>
    </row>
    <row r="24">
      <c r="A24" s="0" t="inlineStr">
        <is>
          <t xml:space="preserve">valuation</t>
        </is>
      </c>
      <c r="B24" s="0" t="inlineStr">
        <is>
          <t xml:space="preserve">value</t>
        </is>
      </c>
      <c r="C24" s="0" t="inlineStr">
        <is>
          <t xml:space="preserve">line = enterprise_value</t>
        </is>
      </c>
      <c r="D24" s="20" t="inlineStr">
        <is>
          <t xml:space="preserve">sum_pv_ufcf + pv_terminal</t>
        </is>
      </c>
      <c r="E24" s="0" t="inlineStr">
        <is>
          <t xml:space="preserve">ok</t>
        </is>
      </c>
    </row>
    <row r="25">
      <c r="A25" s="0" t="inlineStr">
        <is>
          <t xml:space="preserve">valuation</t>
        </is>
      </c>
      <c r="B25" s="0" t="inlineStr">
        <is>
          <t xml:space="preserve">value</t>
        </is>
      </c>
      <c r="C25" s="0" t="inlineStr">
        <is>
          <t xml:space="preserve">line = net_debt</t>
        </is>
      </c>
      <c r="D25" s="20" t="inlineStr">
        <is>
          <t xml:space="preserve">wacc.net_debt</t>
        </is>
      </c>
      <c r="E25" s="0" t="inlineStr">
        <is>
          <t xml:space="preserve">ok</t>
        </is>
      </c>
    </row>
    <row r="26">
      <c r="A26" s="0" t="inlineStr">
        <is>
          <t xml:space="preserve">valuation</t>
        </is>
      </c>
      <c r="B26" s="0" t="inlineStr">
        <is>
          <t xml:space="preserve">value</t>
        </is>
      </c>
      <c r="C26" s="0" t="inlineStr">
        <is>
          <t xml:space="preserve">line = equity_value</t>
        </is>
      </c>
      <c r="D26" s="20" t="inlineStr">
        <is>
          <t xml:space="preserve">enterprise_value - net_debt</t>
        </is>
      </c>
      <c r="E26" s="0" t="inlineStr">
        <is>
          <t xml:space="preserve">ok</t>
        </is>
      </c>
    </row>
    <row r="27">
      <c r="A27" s="0" t="inlineStr">
        <is>
          <t xml:space="preserve">valuation</t>
        </is>
      </c>
      <c r="B27" s="0" t="inlineStr">
        <is>
          <t xml:space="preserve">value</t>
        </is>
      </c>
      <c r="C27" s="0" t="inlineStr">
        <is>
          <t xml:space="preserve">line = per_share</t>
        </is>
      </c>
      <c r="D27" s="20" t="inlineStr">
        <is>
          <t xml:space="preserve">equity_value / wacc.shares</t>
        </is>
      </c>
      <c r="E27" s="0" t="inlineStr">
        <is>
          <t xml:space="preserve">ok</t>
        </is>
      </c>
    </row>
    <row r="28">
      <c r="A28" s="0" t="inlineStr">
        <is>
          <t xml:space="preserve">valuation</t>
        </is>
      </c>
      <c r="B28" s="0" t="inlineStr">
        <is>
          <t xml:space="preserve">value</t>
        </is>
      </c>
      <c r="C28" s="0" t="inlineStr">
        <is>
          <t xml:space="preserve">line = current_price</t>
        </is>
      </c>
      <c r="D28" s="20" t="inlineStr">
        <is>
          <t xml:space="preserve">wacc.current_price</t>
        </is>
      </c>
      <c r="E28" s="0" t="inlineStr">
        <is>
          <t xml:space="preserve">ok</t>
        </is>
      </c>
    </row>
    <row r="29">
      <c r="A29" s="0" t="inlineStr">
        <is>
          <t xml:space="preserve">valuation</t>
        </is>
      </c>
      <c r="B29" s="0" t="inlineStr">
        <is>
          <t xml:space="preserve">value</t>
        </is>
      </c>
      <c r="C29" s="0" t="inlineStr">
        <is>
          <t xml:space="preserve">line = premium</t>
        </is>
      </c>
      <c r="D29" s="20" t="inlineStr">
        <is>
          <t xml:space="preserve">per_share / current_price - 1</t>
        </is>
      </c>
      <c r="E29" s="0" t="inlineStr">
        <is>
          <t xml:space="preserve">ok</t>
        </is>
      </c>
    </row>
    <row r="30">
      <c r="A30" s="0" t="inlineStr">
        <is>
          <t xml:space="preserve">valuation</t>
        </is>
      </c>
      <c r="B30" s="0" t="inlineStr">
        <is>
          <t xml:space="preserve">value</t>
        </is>
      </c>
      <c r="C30" s="0" t="inlineStr">
        <is>
          <t xml:space="preserve">line = tv_share</t>
        </is>
      </c>
      <c r="D30" s="20" t="inlineStr">
        <is>
          <t xml:space="preserve">pv_terminal / enterprise_value</t>
        </is>
      </c>
      <c r="E30" s="0" t="inlineStr">
        <is>
          <t xml:space="preserve">ok</t>
        </is>
      </c>
    </row>
    <row r="31">
      <c r="A31" s="0" t="inlineStr">
        <is>
          <t xml:space="preserve">valuation</t>
        </is>
      </c>
      <c r="B31" s="0" t="inlineStr">
        <is>
          <t xml:space="preserve">value</t>
        </is>
      </c>
      <c r="C31" s="0" t="inlineStr">
        <is>
          <t xml:space="preserve">line = implied_multiple</t>
        </is>
      </c>
      <c r="D31" s="20" t="inlineStr">
        <is>
          <t xml:space="preserve">terminal_value / fcf.ebitda[period=last]</t>
        </is>
      </c>
      <c r="E31" s="0" t="inlineStr">
        <is>
          <t xml:space="preserve">ok</t>
        </is>
      </c>
    </row>
    <row r="32">
      <c r="A32" s="0" t="inlineStr">
        <is>
          <t xml:space="preserve">valuation</t>
        </is>
      </c>
      <c r="B32" s="0" t="inlineStr">
        <is>
          <t xml:space="preserve">value</t>
        </is>
      </c>
      <c r="C32" s="0" t="inlineStr">
        <is>
          <t xml:space="preserve">line = implied_growth</t>
        </is>
      </c>
      <c r="D32" s="20" t="inlineStr">
        <is>
          <t xml:space="preserve">(terminal_value * wacc.wacc - fcf.ufcf[period=last]) / (terminal_value + fcf.ufcf[period=last])</t>
        </is>
      </c>
      <c r="E32" s="0" t="inlineStr">
        <is>
          <t xml:space="preserve">ok</t>
        </is>
      </c>
    </row>
    <row r="33">
      <c r="A33" s="0" t="inlineStr">
        <is>
          <t xml:space="preserve">valuation</t>
        </is>
      </c>
      <c r="B33" s="0" t="inlineStr">
        <is>
          <t xml:space="preserve">value</t>
        </is>
      </c>
      <c r="C33" s="0" t="inlineStr">
        <is>
          <t xml:space="preserve">line = ev_ltm_ebitda</t>
        </is>
      </c>
      <c r="D33" s="20" t="inlineStr">
        <is>
          <t xml:space="preserve">enterprise_value / fcf.ebitda[period=first]</t>
        </is>
      </c>
      <c r="E33" s="0" t="inlineStr">
        <is>
          <t xml:space="preserve">ok</t>
        </is>
      </c>
    </row>
    <row r="34">
      <c r="A34" s="0" t="inlineStr">
        <is>
          <t xml:space="preserve">sensitivity_growth</t>
        </is>
      </c>
      <c r="B34" s="0" t="inlineStr">
        <is>
          <t xml:space="preserve">value</t>
        </is>
      </c>
      <c r="C34" s="0" t="inlineStr">
        <is>
          <t xml:space="preserve">line = per_share</t>
        </is>
      </c>
      <c r="D34" s="20" t="inlineStr">
        <is>
          <t xml:space="preserve">((NPV((wacc.wacc + wacc_case.delta), fcf.ufcf[period.frame=fcst]) * (1 + (wacc.wacc + wacc_case.delta)) ^ 0.5 + fcf.ufcf[period=last] * (1 + wacc.terminal_growth + growth_case.delta) / ((wacc.wacc + wacc_case.delta) - (wacc.terminal_growth + growth_case.delta)) / (1 + (wacc.wacc + wacc_case.delta)) ^ fcf.n[period=last]) - wacc.net_debt) / wacc.shares</t>
        </is>
      </c>
      <c r="E34" s="0" t="inlineStr">
        <is>
          <t xml:space="preserve">ok</t>
        </is>
      </c>
    </row>
    <row r="35">
      <c r="A35" s="0" t="inlineStr">
        <is>
          <t xml:space="preserve">sensitivity_multiple</t>
        </is>
      </c>
      <c r="B35" s="0" t="inlineStr">
        <is>
          <t xml:space="preserve">value</t>
        </is>
      </c>
      <c r="C35" s="0" t="inlineStr">
        <is>
          <t xml:space="preserve">line = per_share</t>
        </is>
      </c>
      <c r="D35" s="20" t="inlineStr">
        <is>
          <t xml:space="preserve">((NPV((wacc.wacc + wacc_case.delta), fcf.ufcf[period.frame=fcst]) * (1 + (wacc.wacc + wacc_case.delta)) ^ 0.5 + fcf.ebitda[period=last] * (wacc.exit_multiple + multiple_case.delta) / (1 + (wacc.wacc + wacc_case.delta)) ^ fcf.n[period=last]) - wacc.net_debt) / wacc.shares</t>
        </is>
      </c>
      <c r="E35" s="0" t="inlineStr">
        <is>
          <t xml:space="preserve">ok</t>
        </is>
      </c>
    </row>
    <row r="37">
      <c r="A37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