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4000" windowHeight="14000"/>
  </bookViews>
  <sheets>
    <sheet name="FY2026 outlook" sheetId="1" r:id="rId1"/>
    <sheet name="Departments and headcount" sheetId="2" r:id="rId2"/>
    <sheet name="Drivers, budget and ledger" sheetId="3" r:id="rId3"/>
    <sheet name="Forecast drivers" sheetId="4" r:id="rId4"/>
    <sheet name="Headcount plan" sheetId="5" r:id="rId5"/>
    <sheet name="Outlook actuals from the ledger" sheetId="6" r:id="rId6"/>
    <sheet name="Budget (annual operating plan)" sheetId="7" r:id="rId7"/>
    <sheet name="P&amp;L by entity" sheetId="8" r:id="rId8"/>
    <sheet name="P&amp;L, company" sheetId="9" r:id="rId9"/>
    <sheet name="Year to date and full year, by " sheetId="10" r:id="rId10"/>
    <sheet name="Year to date and full year, (2)" sheetId="11" r:id="rId11"/>
    <sheet name="Year to date and full year, P&amp;L" sheetId="12" r:id="rId12"/>
    <sheet name="Periods" sheetId="13" r:id="rId13"/>
    <sheet name="ledger" sheetId="14" r:id="rId14"/>
    <sheet name="Entities" sheetId="15" r:id="rId15"/>
    <sheet name="Departments" sheetId="16" r:id="rId16"/>
    <sheet name="Accounts" sheetId="17" r:id="rId17"/>
    <sheet name="Versions" sheetId="18" r:id="rId18"/>
    <sheet name="Forecast drivers lines" sheetId="19" r:id="rId19"/>
    <sheet name="Headcount plan lines" sheetId="20" r:id="rId20"/>
    <sheet name="P&amp;L by entity lines" sheetId="21" r:id="rId21"/>
    <sheet name="P&amp;L, company lines" sheetId="22" r:id="rId22"/>
    <sheet name="Year to date and full year, (3)" sheetId="23" r:id="rId23"/>
    <sheet name="Rules" sheetId="24" r:id="rId24"/>
  </sheets>
  <calcPr calcId="191029" fullCalcOnLoad="1"/>
</workbook>
</file>

<file path=xl/styles.xml><?xml version="1.0" encoding="utf-8"?>
<styleSheet xmlns="http://schemas.openxmlformats.org/spreadsheetml/2006/main">
  <numFmts count="4">
    <numFmt numFmtId="164" formatCode="#,##0;(#,##0);&quot;-&quot;"/>
    <numFmt numFmtId="165" formatCode="#,##0.00;(#,##0.00);&quot;-&quot;"/>
    <numFmt numFmtId="166" formatCode="0.0%"/>
    <numFmt numFmtId="167" formatCode="yyyy-mm-dd"/>
  </numFmts>
  <fonts count="4">
    <font>
      <sz val="11"/>
      <name val="Calibri"/>
    </font>
    <font>
      <b/>
      <sz val="11"/>
      <name val="Calibri"/>
    </font>
    <font>
      <sz val="11"/>
      <color rgb="FF1F4FD1"/>
      <name val="Calibri"/>
    </font>
    <font>
      <sz val="11"/>
      <color rgb="FF7A7A76"/>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xf numFmtId="164" fontId="0" fillId="0" borderId="0" xfId="0" applyNumberFormat="1"/>
    <xf numFmtId="164" fontId="1" fillId="0" borderId="0" xfId="0" applyNumberFormat="1" applyFont="1"/>
    <xf numFmtId="164" fontId="2" fillId="0" borderId="0" xfId="0" applyNumberFormat="1" applyFont="1"/>
    <xf numFmtId="164" fontId="3" fillId="0" borderId="0" xfId="0" applyNumberFormat="1" applyFont="1"/>
    <xf numFmtId="165" fontId="0" fillId="0" borderId="0" xfId="0" applyNumberFormat="1"/>
    <xf numFmtId="165" fontId="1" fillId="0" borderId="0" xfId="0" applyNumberFormat="1" applyFont="1"/>
    <xf numFmtId="165" fontId="2" fillId="0" borderId="0" xfId="0" applyNumberFormat="1" applyFont="1"/>
    <xf numFmtId="165" fontId="3" fillId="0" borderId="0" xfId="0" applyNumberFormat="1" applyFont="1"/>
    <xf numFmtId="166" fontId="0" fillId="0" borderId="0" xfId="0" applyNumberFormat="1"/>
    <xf numFmtId="166" fontId="1" fillId="0" borderId="0" xfId="0" applyNumberFormat="1" applyFont="1"/>
    <xf numFmtId="166" fontId="2" fillId="0" borderId="0" xfId="0" applyNumberFormat="1" applyFont="1"/>
    <xf numFmtId="166" fontId="3" fillId="0" borderId="0" xfId="0" applyNumberFormat="1" applyFont="1"/>
    <xf numFmtId="167" fontId="0" fillId="0" borderId="0" xfId="0" applyNumberFormat="1"/>
    <xf numFmtId="167" fontId="1" fillId="0" borderId="0" xfId="0" applyNumberFormat="1" applyFont="1"/>
    <xf numFmtId="167" fontId="2" fillId="0" borderId="0" xfId="0" applyNumberFormat="1" applyFont="1"/>
    <xf numFmtId="167" fontId="3" fillId="0" borderId="0" xfId="0" applyNumberFormat="1" applyFont="1"/>
    <xf numFmtId="49" fontId="0" fillId="0" borderId="0" xfId="0" applyNumberFormat="1"/>
    <xf numFmtId="49" fontId="1" fillId="0" borderId="0" xfId="0" applyNumberFormat="1" applyFont="1"/>
    <xf numFmtId="49" fontId="2" fillId="0" borderId="0" xfId="0" applyNumberFormat="1" applyFont="1"/>
    <xf numFmtId="49"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Revenue, gross profit and EBITDA by month</a:t>
            </a:r>
          </a:p>
        </c:rich>
      </c:tx>
      <c:overlay val="0"/>
    </c:title>
    <c:autoTitleDeleted val="0"/>
    <c:plotArea>
      <c:layout/>
      <c:barChart>
        <c:barDir val="col"/>
        <c:grouping val="clustered"/>
        <c:varyColors val="0"/>
        <c:ser>
          <c:idx val="0"/>
          <c:order val="0"/>
          <c:tx>
            <c:strRef>
              <c:f>'FY2026 outlook'!$A$51</c:f>
            </c:strRef>
          </c:tx>
          <c:spPr>
            <a:solidFill>
              <a:srgbClr val="2F6FED"/>
            </a:solidFill>
          </c:spPr>
          <c:invertIfNegative val="0"/>
          <c:cat>
            <c:strRef>
              <c:f>'FY2026 outlook'!$B$50:$M$50</c:f>
            </c:strRef>
          </c:cat>
          <c:val>
            <c:numRef>
              <c:f>'FY2026 outlook'!$B$51:$M$51</c:f>
            </c:numRef>
          </c:val>
        </c:ser>
        <c:ser>
          <c:idx val="1"/>
          <c:order val="1"/>
          <c:tx>
            <c:strRef>
              <c:f>'FY2026 outlook'!$A$52</c:f>
            </c:strRef>
          </c:tx>
          <c:spPr>
            <a:solidFill>
              <a:srgbClr val="E8590C"/>
            </a:solidFill>
          </c:spPr>
          <c:invertIfNegative val="0"/>
          <c:cat>
            <c:strRef>
              <c:f>'FY2026 outlook'!$B$50:$M$50</c:f>
            </c:strRef>
          </c:cat>
          <c:val>
            <c:numRef>
              <c:f>'FY2026 outlook'!$B$52:$M$52</c:f>
            </c:numRef>
          </c:val>
        </c:ser>
        <c:ser>
          <c:idx val="2"/>
          <c:order val="2"/>
          <c:tx>
            <c:strRef>
              <c:f>'FY2026 outlook'!$A$53</c:f>
            </c:strRef>
          </c:tx>
          <c:spPr>
            <a:solidFill>
              <a:srgbClr val="12B886"/>
            </a:solidFill>
          </c:spPr>
          <c:invertIfNegative val="0"/>
          <c:cat>
            <c:strRef>
              <c:f>'FY2026 outlook'!$B$50:$M$50</c:f>
            </c:strRef>
          </c:cat>
          <c:val>
            <c:numRef>
              <c:f>'FY2026 outlook'!$B$53:$M$53</c:f>
            </c:numRef>
          </c:val>
        </c:ser>
        <c:gapWidth val="12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Margins by month</a:t>
            </a:r>
          </a:p>
        </c:rich>
      </c:tx>
      <c:overlay val="0"/>
    </c:title>
    <c:autoTitleDeleted val="0"/>
    <c:plotArea>
      <c:layout/>
      <c:lineChart>
        <c:grouping val="standard"/>
        <c:varyColors val="0"/>
        <c:ser>
          <c:idx val="0"/>
          <c:order val="0"/>
          <c:tx>
            <c:strRef>
              <c:f>'FY2026 outlook'!$A$74</c:f>
            </c:strRef>
          </c:tx>
          <c:spPr>
            <a:ln w="28575" cap="rnd">
              <a:solidFill>
                <a:srgbClr val="2F6FED"/>
              </a:solidFill>
              <a:round/>
            </a:ln>
          </c:spPr>
          <c:marker>
            <c:symbol val="circle"/>
            <c:size val="5"/>
          </c:marker>
          <c:cat>
            <c:strRef>
              <c:f>'FY2026 outlook'!$B$73:$M$73</c:f>
            </c:strRef>
          </c:cat>
          <c:val>
            <c:numRef>
              <c:f>'FY2026 outlook'!$B$74:$M$74</c:f>
            </c:numRef>
          </c:val>
          <c:smooth val="0"/>
        </c:ser>
        <c:ser>
          <c:idx val="1"/>
          <c:order val="1"/>
          <c:tx>
            <c:strRef>
              <c:f>'FY2026 outlook'!$A$75</c:f>
            </c:strRef>
          </c:tx>
          <c:spPr>
            <a:ln w="28575" cap="rnd">
              <a:solidFill>
                <a:srgbClr val="E8590C"/>
              </a:solidFill>
              <a:round/>
            </a:ln>
          </c:spPr>
          <c:marker>
            <c:symbol val="circle"/>
            <c:size val="5"/>
          </c:marker>
          <c:cat>
            <c:strRef>
              <c:f>'FY2026 outlook'!$B$73:$M$73</c:f>
            </c:strRef>
          </c:cat>
          <c:val>
            <c:numRef>
              <c:f>'FY2026 outlook'!$B$75:$M$75</c:f>
            </c:numRef>
          </c:val>
          <c:smooth val="0"/>
        </c:ser>
        <c:marker val="1"/>
        <c:axId val="10"/>
        <c:axId val="20"/>
      </c:line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midCat"/>
      </c:valAx>
    </c:plotArea>
    <c:legend>
      <c:legendPos val="b"/>
      <c:overlay val="0"/>
    </c:legend>
    <c:plotVisOnly val="1"/>
    <c:dispBlanksAs val="gap"/>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Operating expenses by department</a:t>
            </a:r>
          </a:p>
        </c:rich>
      </c:tx>
      <c:overlay val="0"/>
    </c:title>
    <c:autoTitleDeleted val="0"/>
    <c:plotArea>
      <c:layout/>
      <c:barChart>
        <c:barDir val="col"/>
        <c:grouping val="stacked"/>
        <c:varyColors val="0"/>
        <c:ser>
          <c:idx val="0"/>
          <c:order val="0"/>
          <c:tx>
            <c:strRef>
              <c:f>'FY2026 outlook'!$A$96</c:f>
            </c:strRef>
          </c:tx>
          <c:spPr>
            <a:solidFill>
              <a:srgbClr val="2F6FED"/>
            </a:solidFill>
          </c:spPr>
          <c:invertIfNegative val="0"/>
          <c:cat>
            <c:strRef>
              <c:f>'FY2026 outlook'!$B$95:$M$95</c:f>
            </c:strRef>
          </c:cat>
          <c:val>
            <c:numRef>
              <c:f>'FY2026 outlook'!$B$96:$M$96</c:f>
            </c:numRef>
          </c:val>
        </c:ser>
        <c:ser>
          <c:idx val="1"/>
          <c:order val="1"/>
          <c:tx>
            <c:strRef>
              <c:f>'FY2026 outlook'!$A$97</c:f>
            </c:strRef>
          </c:tx>
          <c:spPr>
            <a:solidFill>
              <a:srgbClr val="E8590C"/>
            </a:solidFill>
          </c:spPr>
          <c:invertIfNegative val="0"/>
          <c:cat>
            <c:strRef>
              <c:f>'FY2026 outlook'!$B$95:$M$95</c:f>
            </c:strRef>
          </c:cat>
          <c:val>
            <c:numRef>
              <c:f>'FY2026 outlook'!$B$97:$M$97</c:f>
            </c:numRef>
          </c:val>
        </c:ser>
        <c:ser>
          <c:idx val="2"/>
          <c:order val="2"/>
          <c:tx>
            <c:strRef>
              <c:f>'FY2026 outlook'!$A$98</c:f>
            </c:strRef>
          </c:tx>
          <c:spPr>
            <a:solidFill>
              <a:srgbClr val="12B886"/>
            </a:solidFill>
          </c:spPr>
          <c:invertIfNegative val="0"/>
          <c:cat>
            <c:strRef>
              <c:f>'FY2026 outlook'!$B$95:$M$95</c:f>
            </c:strRef>
          </c:cat>
          <c:val>
            <c:numRef>
              <c:f>'FY2026 outlook'!$B$98:$M$98</c:f>
            </c:numRef>
          </c:val>
        </c:ser>
        <c:ser>
          <c:idx val="3"/>
          <c:order val="3"/>
          <c:tx>
            <c:strRef>
              <c:f>'FY2026 outlook'!$A$99</c:f>
            </c:strRef>
          </c:tx>
          <c:spPr>
            <a:solidFill>
              <a:srgbClr val="F59F00"/>
            </a:solidFill>
          </c:spPr>
          <c:invertIfNegative val="0"/>
          <c:cat>
            <c:strRef>
              <c:f>'FY2026 outlook'!$B$95:$M$95</c:f>
            </c:strRef>
          </c:cat>
          <c:val>
            <c:numRef>
              <c:f>'FY2026 outlook'!$B$99:$M$99</c:f>
            </c:numRef>
          </c:val>
        </c:ser>
        <c:ser>
          <c:idx val="4"/>
          <c:order val="4"/>
          <c:tx>
            <c:strRef>
              <c:f>'FY2026 outlook'!$A$100</c:f>
            </c:strRef>
          </c:tx>
          <c:spPr>
            <a:solidFill>
              <a:srgbClr val="7048E8"/>
            </a:solidFill>
          </c:spPr>
          <c:invertIfNegative val="0"/>
          <c:cat>
            <c:strRef>
              <c:f>'FY2026 outlook'!$B$95:$M$95</c:f>
            </c:strRef>
          </c:cat>
          <c:val>
            <c:numRef>
              <c:f>'FY2026 outlook'!$B$100:$M$100</c:f>
            </c:numRef>
          </c:val>
        </c:ser>
        <c:gapWidth val="60"/>
        <c:overlap val="10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4.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Revenue by entity</a:t>
            </a:r>
          </a:p>
        </c:rich>
      </c:tx>
      <c:overlay val="0"/>
    </c:title>
    <c:autoTitleDeleted val="0"/>
    <c:plotArea>
      <c:layout/>
      <c:barChart>
        <c:barDir val="col"/>
        <c:grouping val="clustered"/>
        <c:varyColors val="0"/>
        <c:ser>
          <c:idx val="0"/>
          <c:order val="0"/>
          <c:tx>
            <c:strRef>
              <c:f>'FY2026 outlook'!$A$121</c:f>
            </c:strRef>
          </c:tx>
          <c:spPr>
            <a:solidFill>
              <a:srgbClr val="2F6FED"/>
            </a:solidFill>
          </c:spPr>
          <c:invertIfNegative val="0"/>
          <c:cat>
            <c:strRef>
              <c:f>'FY2026 outlook'!$B$120:$M$120</c:f>
            </c:strRef>
          </c:cat>
          <c:val>
            <c:numRef>
              <c:f>'FY2026 outlook'!$B$121:$M$121</c:f>
            </c:numRef>
          </c:val>
        </c:ser>
        <c:ser>
          <c:idx val="1"/>
          <c:order val="1"/>
          <c:tx>
            <c:strRef>
              <c:f>'FY2026 outlook'!$A$122</c:f>
            </c:strRef>
          </c:tx>
          <c:spPr>
            <a:solidFill>
              <a:srgbClr val="E8590C"/>
            </a:solidFill>
          </c:spPr>
          <c:invertIfNegative val="0"/>
          <c:cat>
            <c:strRef>
              <c:f>'FY2026 outlook'!$B$120:$M$120</c:f>
            </c:strRef>
          </c:cat>
          <c:val>
            <c:numRef>
              <c:f>'FY2026 outlook'!$B$122:$M$122</c:f>
            </c:numRef>
          </c:val>
        </c:ser>
        <c:gapWidth val="12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5.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US headcount by department</a:t>
            </a:r>
          </a:p>
        </c:rich>
      </c:tx>
      <c:overlay val="0"/>
    </c:title>
    <c:autoTitleDeleted val="0"/>
    <c:plotArea>
      <c:layout/>
      <c:barChart>
        <c:barDir val="col"/>
        <c:grouping val="stacked"/>
        <c:varyColors val="0"/>
        <c:ser>
          <c:idx val="0"/>
          <c:order val="0"/>
          <c:tx>
            <c:strRef>
              <c:f>'Departments and headcount'!$A$102</c:f>
            </c:strRef>
          </c:tx>
          <c:spPr>
            <a:solidFill>
              <a:srgbClr val="2F6FED"/>
            </a:solidFill>
          </c:spPr>
          <c:invertIfNegative val="0"/>
          <c:cat>
            <c:strRef>
              <c:f>'Departments and headcount'!$B$101:$M$101</c:f>
            </c:strRef>
          </c:cat>
          <c:val>
            <c:numRef>
              <c:f>'Departments and headcount'!$B$102:$M$102</c:f>
            </c:numRef>
          </c:val>
        </c:ser>
        <c:ser>
          <c:idx val="1"/>
          <c:order val="1"/>
          <c:tx>
            <c:strRef>
              <c:f>'Departments and headcount'!$A$103</c:f>
            </c:strRef>
          </c:tx>
          <c:spPr>
            <a:solidFill>
              <a:srgbClr val="E8590C"/>
            </a:solidFill>
          </c:spPr>
          <c:invertIfNegative val="0"/>
          <c:cat>
            <c:strRef>
              <c:f>'Departments and headcount'!$B$101:$M$101</c:f>
            </c:strRef>
          </c:cat>
          <c:val>
            <c:numRef>
              <c:f>'Departments and headcount'!$B$103:$M$103</c:f>
            </c:numRef>
          </c:val>
        </c:ser>
        <c:ser>
          <c:idx val="2"/>
          <c:order val="2"/>
          <c:tx>
            <c:strRef>
              <c:f>'Departments and headcount'!$A$104</c:f>
            </c:strRef>
          </c:tx>
          <c:spPr>
            <a:solidFill>
              <a:srgbClr val="12B886"/>
            </a:solidFill>
          </c:spPr>
          <c:invertIfNegative val="0"/>
          <c:cat>
            <c:strRef>
              <c:f>'Departments and headcount'!$B$101:$M$101</c:f>
            </c:strRef>
          </c:cat>
          <c:val>
            <c:numRef>
              <c:f>'Departments and headcount'!$B$104:$M$104</c:f>
            </c:numRef>
          </c:val>
        </c:ser>
        <c:ser>
          <c:idx val="3"/>
          <c:order val="3"/>
          <c:tx>
            <c:strRef>
              <c:f>'Departments and headcount'!$A$105</c:f>
            </c:strRef>
          </c:tx>
          <c:spPr>
            <a:solidFill>
              <a:srgbClr val="F59F00"/>
            </a:solidFill>
          </c:spPr>
          <c:invertIfNegative val="0"/>
          <c:cat>
            <c:strRef>
              <c:f>'Departments and headcount'!$B$101:$M$101</c:f>
            </c:strRef>
          </c:cat>
          <c:val>
            <c:numRef>
              <c:f>'Departments and headcount'!$B$105:$M$105</c:f>
            </c:numRef>
          </c:val>
        </c:ser>
        <c:ser>
          <c:idx val="4"/>
          <c:order val="4"/>
          <c:tx>
            <c:strRef>
              <c:f>'Departments and headcount'!$A$106</c:f>
            </c:strRef>
          </c:tx>
          <c:spPr>
            <a:solidFill>
              <a:srgbClr val="7048E8"/>
            </a:solidFill>
          </c:spPr>
          <c:invertIfNegative val="0"/>
          <c:cat>
            <c:strRef>
              <c:f>'Departments and headcount'!$B$101:$M$101</c:f>
            </c:strRef>
          </c:cat>
          <c:val>
            <c:numRef>
              <c:f>'Departments and headcount'!$B$106:$M$106</c:f>
            </c:numRef>
          </c:val>
        </c:ser>
        <c:gapWidth val="60"/>
        <c:overlap val="10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6.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Company headcount by month</a:t>
            </a:r>
          </a:p>
        </c:rich>
      </c:tx>
      <c:overlay val="0"/>
    </c:title>
    <c:autoTitleDeleted val="0"/>
    <c:plotArea>
      <c:layout/>
      <c:barChart>
        <c:barDir val="col"/>
        <c:grouping val="clustered"/>
        <c:varyColors val="0"/>
        <c:ser>
          <c:idx val="0"/>
          <c:order val="0"/>
          <c:tx>
            <c:strRef>
              <c:f>'Departments and headcount'!$A$127</c:f>
            </c:strRef>
          </c:tx>
          <c:spPr>
            <a:solidFill>
              <a:srgbClr val="2F6FED"/>
            </a:solidFill>
          </c:spPr>
          <c:invertIfNegative val="0"/>
          <c:cat>
            <c:strRef>
              <c:f>'Departments and headcount'!$B$126:$M$126</c:f>
            </c:strRef>
          </c:cat>
          <c:val>
            <c:numRef>
              <c:f>'Departments and headcount'!$B$127:$M$127</c:f>
            </c:numRef>
          </c:val>
        </c:ser>
        <c:gapWidth val="12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54</xdr:row>
      <xdr:rowOff>0</xdr:rowOff>
    </xdr:from>
    <xdr:to>
      <xdr:col>14</xdr:col>
      <xdr:colOff>0</xdr:colOff>
      <xdr:row>70</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r:id="rId1"/>
        </a:graphicData>
      </a:graphic>
    </xdr:graphicFrame>
    <xdr:clientData/>
  </xdr:twoCellAnchor>
  <xdr:twoCellAnchor editAs="oneCell">
    <xdr:from>
      <xdr:col>0</xdr:col>
      <xdr:colOff>0</xdr:colOff>
      <xdr:row>76</xdr:row>
      <xdr:rowOff>0</xdr:rowOff>
    </xdr:from>
    <xdr:to>
      <xdr:col>14</xdr:col>
      <xdr:colOff>0</xdr:colOff>
      <xdr:row>92</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r:id="rId2"/>
        </a:graphicData>
      </a:graphic>
    </xdr:graphicFrame>
    <xdr:clientData/>
  </xdr:twoCellAnchor>
  <xdr:twoCellAnchor editAs="oneCell">
    <xdr:from>
      <xdr:col>0</xdr:col>
      <xdr:colOff>0</xdr:colOff>
      <xdr:row>101</xdr:row>
      <xdr:rowOff>0</xdr:rowOff>
    </xdr:from>
    <xdr:to>
      <xdr:col>14</xdr:col>
      <xdr:colOff>0</xdr:colOff>
      <xdr:row>117</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r:id="rId3"/>
        </a:graphicData>
      </a:graphic>
    </xdr:graphicFrame>
    <xdr:clientData/>
  </xdr:twoCellAnchor>
  <xdr:twoCellAnchor editAs="oneCell">
    <xdr:from>
      <xdr:col>0</xdr:col>
      <xdr:colOff>0</xdr:colOff>
      <xdr:row>123</xdr:row>
      <xdr:rowOff>0</xdr:rowOff>
    </xdr:from>
    <xdr:to>
      <xdr:col>14</xdr:col>
      <xdr:colOff>0</xdr:colOff>
      <xdr:row>139</xdr:row>
      <xdr:rowOff>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r:id="rId4"/>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107</xdr:row>
      <xdr:rowOff>0</xdr:rowOff>
    </xdr:from>
    <xdr:to>
      <xdr:col>14</xdr:col>
      <xdr:colOff>0</xdr:colOff>
      <xdr:row>123</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r:id="rId1"/>
        </a:graphicData>
      </a:graphic>
    </xdr:graphicFrame>
    <xdr:clientData/>
  </xdr:twoCellAnchor>
  <xdr:twoCellAnchor editAs="oneCell">
    <xdr:from>
      <xdr:col>0</xdr:col>
      <xdr:colOff>0</xdr:colOff>
      <xdr:row>128</xdr:row>
      <xdr:rowOff>0</xdr:rowOff>
    </xdr:from>
    <xdr:to>
      <xdr:col>14</xdr:col>
      <xdr:colOff>0</xdr:colOff>
      <xdr:row>144</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r:id="rId2"/>
        </a:graphicData>
      </a:graphic>
    </xdr:graphicFrame>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cols>
    <col min="1" max="1" width="34"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s>
  <sheetData>
    <row r="1">
      <c r="A1" s="1" t="inlineStr">
        <is>
          <t xml:space="preserve">FY2026 revenue: budget → outlook</t>
        </is>
      </c>
    </row>
    <row r="2">
      <c r="A2" s="1" t="inlineStr">
        <is>
          <t xml:space="preserve">line</t>
        </is>
      </c>
      <c r="B2" s="1" t="inlineStr">
        <is>
          <t xml:space="preserve">FY outlook</t>
        </is>
      </c>
    </row>
    <row r="3">
      <c r="A3" s="0" t="inlineStr">
        <is>
          <t xml:space="preserve">Revenue</t>
        </is>
      </c>
      <c r="B3" s="8">
        <f>'Year to date and full year, P&amp;L'!E2</f>
        <v>77300426.86269057</v>
      </c>
    </row>
    <row r="5">
      <c r="A5" s="1" t="inlineStr">
        <is>
          <t xml:space="preserve">FY2026 EBITDA: budget → outlook</t>
        </is>
      </c>
    </row>
    <row r="6">
      <c r="A6" s="1" t="inlineStr">
        <is>
          <t xml:space="preserve">line</t>
        </is>
      </c>
      <c r="B6" s="1" t="inlineStr">
        <is>
          <t xml:space="preserve">FY outlook</t>
        </is>
      </c>
    </row>
    <row r="7">
      <c r="A7" s="0" t="inlineStr">
        <is>
          <t xml:space="preserve">EBITDA</t>
        </is>
      </c>
      <c r="B7" s="8">
        <f>'Year to date and full year, P&amp;L'!E12</f>
        <v>12247962.639255233</v>
      </c>
    </row>
    <row r="9">
      <c r="A9" s="1" t="inlineStr">
        <is>
          <t xml:space="preserve">FY2026 EBITDA margin: budget → outlook</t>
        </is>
      </c>
    </row>
    <row r="10">
      <c r="A10" s="1" t="inlineStr">
        <is>
          <t xml:space="preserve">line</t>
        </is>
      </c>
      <c r="B10" s="1" t="inlineStr">
        <is>
          <t xml:space="preserve">FY outlook</t>
        </is>
      </c>
    </row>
    <row r="11">
      <c r="A11" s="0" t="inlineStr">
        <is>
          <t xml:space="preserve">EBITDA margin</t>
        </is>
      </c>
      <c r="B11" s="12">
        <f>'Year to date and full year, P&amp;L'!E13</f>
        <v>0.15844624844066382</v>
      </c>
    </row>
    <row r="13">
      <c r="A13" s="1" t="inlineStr">
        <is>
          <t xml:space="preserve">YTD revenue: budget → actual</t>
        </is>
      </c>
    </row>
    <row r="14">
      <c r="A14" s="1" t="inlineStr">
        <is>
          <t xml:space="preserve">line</t>
        </is>
      </c>
      <c r="B14" s="1" t="inlineStr">
        <is>
          <t xml:space="preserve">YTD actual</t>
        </is>
      </c>
    </row>
    <row r="15">
      <c r="A15" s="0" t="inlineStr">
        <is>
          <t xml:space="preserve">Revenue</t>
        </is>
      </c>
      <c r="B15" s="4">
        <f>'Year to date and full year, P&amp;L'!B2</f>
        <v>50093798</v>
      </c>
    </row>
    <row r="17">
      <c r="A17" s="1" t="inlineStr">
        <is>
          <t xml:space="preserve">Year to date (January to August) and full year: outlook vs budget</t>
        </is>
      </c>
    </row>
    <row r="18">
      <c r="A18" s="1" t="inlineStr">
        <is>
          <t xml:space="preserve">line</t>
        </is>
      </c>
      <c r="B18" s="1" t="inlineStr">
        <is>
          <t xml:space="preserve">YTD actual</t>
        </is>
      </c>
      <c r="C18" s="1" t="inlineStr">
        <is>
          <t xml:space="preserve">YTD budget</t>
        </is>
      </c>
      <c r="D18" s="1" t="inlineStr">
        <is>
          <t xml:space="preserve">YTD variance</t>
        </is>
      </c>
      <c r="E18" s="1" t="inlineStr">
        <is>
          <t xml:space="preserve">FY outlook</t>
        </is>
      </c>
      <c r="F18" s="1" t="inlineStr">
        <is>
          <t xml:space="preserve">FY budget</t>
        </is>
      </c>
      <c r="G18" s="1" t="inlineStr">
        <is>
          <t xml:space="preserve">FY variance</t>
        </is>
      </c>
      <c r="H18" s="1" t="inlineStr">
        <is>
          <t xml:space="preserve">FY variance %</t>
        </is>
      </c>
    </row>
    <row r="19">
      <c r="A19" s="0" t="inlineStr">
        <is>
          <t xml:space="preserve">Revenue</t>
        </is>
      </c>
      <c r="B19" s="8">
        <f>'Year to date and full year, P&amp;L'!B2</f>
        <v>50093798</v>
      </c>
      <c r="C19" s="8">
        <f>'Year to date and full year, P&amp;L'!C2</f>
        <v>51108500</v>
      </c>
      <c r="D19" s="8">
        <f>'Year to date and full year, P&amp;L'!D2</f>
        <v>-1014702</v>
      </c>
      <c r="E19" s="8">
        <f>'Year to date and full year, P&amp;L'!E2</f>
        <v>77300426.86269057</v>
      </c>
      <c r="F19" s="8">
        <f>'Year to date and full year, P&amp;L'!F2</f>
        <v>81322000</v>
      </c>
      <c r="G19" s="8">
        <f>'Year to date and full year, P&amp;L'!G2</f>
        <v>-4021573.1373094358</v>
      </c>
      <c r="H19" s="12">
        <f>'Year to date and full year, P&amp;L'!H2</f>
        <v>-0.04945246227723661</v>
      </c>
    </row>
    <row r="20">
      <c r="A20" s="0" t="inlineStr">
        <is>
          <t xml:space="preserve">Cost of revenue</t>
        </is>
      </c>
      <c r="B20" s="8">
        <f>'Year to date and full year, P&amp;L'!B3</f>
        <v>-8497233</v>
      </c>
      <c r="C20" s="8">
        <f>'Year to date and full year, P&amp;L'!C3</f>
        <v>-8177300</v>
      </c>
      <c r="D20" s="8">
        <f>'Year to date and full year, P&amp;L'!D3</f>
        <v>-319933</v>
      </c>
      <c r="E20" s="8">
        <f>'Year to date and full year, P&amp;L'!E3</f>
        <v>-13095153.277794706</v>
      </c>
      <c r="F20" s="8">
        <f>'Year to date and full year, P&amp;L'!F3</f>
        <v>-13011400</v>
      </c>
      <c r="G20" s="8">
        <f>'Year to date and full year, P&amp;L'!G3</f>
        <v>-83753.27779470407</v>
      </c>
      <c r="H20" s="12">
        <f>'Year to date and full year, P&amp;L'!H3</f>
        <v>-0.006436915150921813</v>
      </c>
    </row>
    <row r="21">
      <c r="A21" s="0" t="inlineStr">
        <is>
          <t xml:space="preserve">Gross profit</t>
        </is>
      </c>
      <c r="B21" s="8">
        <f>'Year to date and full year, P&amp;L'!B4</f>
        <v>41596565</v>
      </c>
      <c r="C21" s="8">
        <f>'Year to date and full year, P&amp;L'!C4</f>
        <v>42931200</v>
      </c>
      <c r="D21" s="8">
        <f>'Year to date and full year, P&amp;L'!D4</f>
        <v>-1334635</v>
      </c>
      <c r="E21" s="8">
        <f>'Year to date and full year, P&amp;L'!E4</f>
        <v>64205273.584895864</v>
      </c>
      <c r="F21" s="8">
        <f>'Year to date and full year, P&amp;L'!F4</f>
        <v>68310600</v>
      </c>
      <c r="G21" s="8">
        <f>'Year to date and full year, P&amp;L'!G4</f>
        <v>-4105326.4151041396</v>
      </c>
      <c r="H21" s="12">
        <f>'Year to date and full year, P&amp;L'!H4</f>
        <v>-0.06009794109704994</v>
      </c>
    </row>
    <row r="22">
      <c r="A22" s="0" t="inlineStr">
        <is>
          <t xml:space="preserve">Gross margin</t>
        </is>
      </c>
      <c r="B22" s="12">
        <f>'Year to date and full year, P&amp;L'!B5</f>
        <v>0.8303735524305823</v>
      </c>
      <c r="C22" s="12">
        <f>'Year to date and full year, P&amp;L'!C5</f>
        <v>0.8400011739730182</v>
      </c>
      <c r="D22" s="12">
        <f>'Year to date and full year, P&amp;L'!D5</f>
        <v>-0.009627621542435905</v>
      </c>
      <c r="E22" s="12">
        <f>'Year to date and full year, P&amp;L'!E5</f>
        <v>0.8305940366790504</v>
      </c>
      <c r="F22" s="12">
        <f>'Year to date and full year, P&amp;L'!F5</f>
        <v>0.8400014756154546</v>
      </c>
      <c r="G22" s="12">
        <f>'Year to date and full year, P&amp;L'!G5</f>
        <v>-0.009407438936404167</v>
      </c>
      <c r="H22" s="12">
        <f>'Year to date and full year, P&amp;L'!H5</f>
      </c>
    </row>
    <row r="23">
      <c r="A23" s="0" t="inlineStr">
        <is>
          <t xml:space="preserve">Sales</t>
        </is>
      </c>
      <c r="B23" s="8">
        <f>'Year to date and full year, P&amp;L'!B6</f>
        <v>-7176944</v>
      </c>
      <c r="C23" s="8">
        <f>'Year to date and full year, P&amp;L'!C6</f>
        <v>-7238600</v>
      </c>
      <c r="D23" s="8">
        <f>'Year to date and full year, P&amp;L'!D6</f>
        <v>61656</v>
      </c>
      <c r="E23" s="8">
        <f>'Year to date and full year, P&amp;L'!E6</f>
        <v>-11420640.418336518</v>
      </c>
      <c r="F23" s="8">
        <f>'Year to date and full year, P&amp;L'!F6</f>
        <v>-11550500</v>
      </c>
      <c r="G23" s="8">
        <f>'Year to date and full year, P&amp;L'!G6</f>
        <v>129859.58166348003</v>
      </c>
      <c r="H23" s="12">
        <f>'Year to date and full year, P&amp;L'!H6</f>
        <v>0.011242767123802436</v>
      </c>
    </row>
    <row r="24">
      <c r="A24" s="0" t="inlineStr">
        <is>
          <t xml:space="preserve">Marketing</t>
        </is>
      </c>
      <c r="B24" s="8">
        <f>'Year to date and full year, P&amp;L'!B7</f>
        <v>-6046043</v>
      </c>
      <c r="C24" s="8">
        <f>'Year to date and full year, P&amp;L'!C7</f>
        <v>-5997300</v>
      </c>
      <c r="D24" s="8">
        <f>'Year to date and full year, P&amp;L'!D7</f>
        <v>-48743</v>
      </c>
      <c r="E24" s="8">
        <f>'Year to date and full year, P&amp;L'!E7</f>
        <v>-9407009.102098368</v>
      </c>
      <c r="F24" s="8">
        <f>'Year to date and full year, P&amp;L'!F7</f>
        <v>-9519100</v>
      </c>
      <c r="G24" s="8">
        <f>'Year to date and full year, P&amp;L'!G7</f>
        <v>112090.89790163143</v>
      </c>
      <c r="H24" s="12">
        <f>'Year to date and full year, P&amp;L'!H7</f>
        <v>0.011775367198751082</v>
      </c>
    </row>
    <row r="25">
      <c r="A25" s="0" t="inlineStr">
        <is>
          <t xml:space="preserve">Engineering</t>
        </is>
      </c>
      <c r="B25" s="8">
        <f>'Year to date and full year, P&amp;L'!B8</f>
        <v>-14550616</v>
      </c>
      <c r="C25" s="8">
        <f>'Year to date and full year, P&amp;L'!C8</f>
        <v>-14196200</v>
      </c>
      <c r="D25" s="8">
        <f>'Year to date and full year, P&amp;L'!D8</f>
        <v>-354416</v>
      </c>
      <c r="E25" s="8">
        <f>'Year to date and full year, P&amp;L'!E8</f>
        <v>-23242687.03607507</v>
      </c>
      <c r="F25" s="8">
        <f>'Year to date and full year, P&amp;L'!F8</f>
        <v>-22713100</v>
      </c>
      <c r="G25" s="8">
        <f>'Year to date and full year, P&amp;L'!G8</f>
        <v>-529587.0360750712</v>
      </c>
      <c r="H25" s="12">
        <f>'Year to date and full year, P&amp;L'!H8</f>
        <v>-0.023316369675432734</v>
      </c>
    </row>
    <row r="26">
      <c r="A26" s="0" t="inlineStr">
        <is>
          <t xml:space="preserve">Customer success</t>
        </is>
      </c>
      <c r="B26" s="8">
        <f>'Year to date and full year, P&amp;L'!B9</f>
        <v>-1765931</v>
      </c>
      <c r="C26" s="8">
        <f>'Year to date and full year, P&amp;L'!C9</f>
        <v>-1739600</v>
      </c>
      <c r="D26" s="8">
        <f>'Year to date and full year, P&amp;L'!D9</f>
        <v>-26331</v>
      </c>
      <c r="E26" s="8">
        <f>'Year to date and full year, P&amp;L'!E9</f>
        <v>-2758987.548254185</v>
      </c>
      <c r="F26" s="8">
        <f>'Year to date and full year, P&amp;L'!F9</f>
        <v>-2729700</v>
      </c>
      <c r="G26" s="8">
        <f>'Year to date and full year, P&amp;L'!G9</f>
        <v>-29287.548254184912</v>
      </c>
      <c r="H26" s="12">
        <f>'Year to date and full year, P&amp;L'!H9</f>
        <v>-0.010729218688568309</v>
      </c>
    </row>
    <row r="27">
      <c r="A27" s="0" t="inlineStr">
        <is>
          <t xml:space="preserve">G&amp;A</t>
        </is>
      </c>
      <c r="B27" s="8">
        <f>'Year to date and full year, P&amp;L'!B10</f>
        <v>-3321804</v>
      </c>
      <c r="C27" s="8">
        <f>'Year to date and full year, P&amp;L'!C10</f>
        <v>-3298300</v>
      </c>
      <c r="D27" s="8">
        <f>'Year to date and full year, P&amp;L'!D10</f>
        <v>-23504</v>
      </c>
      <c r="E27" s="8">
        <f>'Year to date and full year, P&amp;L'!E10</f>
        <v>-5127986.840876493</v>
      </c>
      <c r="F27" s="8">
        <f>'Year to date and full year, P&amp;L'!F10</f>
        <v>-5101500</v>
      </c>
      <c r="G27" s="8">
        <f>'Year to date and full year, P&amp;L'!G10</f>
        <v>-26486.840876492628</v>
      </c>
      <c r="H27" s="12">
        <f>'Year to date and full year, P&amp;L'!H10</f>
        <v>-0.005191971160735593</v>
      </c>
    </row>
    <row r="28">
      <c r="A28" s="0" t="inlineStr">
        <is>
          <t xml:space="preserve">Total operating expenses</t>
        </is>
      </c>
      <c r="B28" s="8">
        <f>'Year to date and full year, P&amp;L'!B11</f>
        <v>-32861338</v>
      </c>
      <c r="C28" s="8">
        <f>'Year to date and full year, P&amp;L'!C11</f>
        <v>-32470000</v>
      </c>
      <c r="D28" s="8">
        <f>'Year to date and full year, P&amp;L'!D11</f>
        <v>-391338</v>
      </c>
      <c r="E28" s="8">
        <f>'Year to date and full year, P&amp;L'!E11</f>
        <v>-51957310.94564063</v>
      </c>
      <c r="F28" s="8">
        <f>'Year to date and full year, P&amp;L'!F11</f>
        <v>-51613900</v>
      </c>
      <c r="G28" s="8">
        <f>'Year to date and full year, P&amp;L'!G11</f>
        <v>-343410.94564063725</v>
      </c>
      <c r="H28" s="12">
        <f>'Year to date and full year, P&amp;L'!H11</f>
        <v>-0.006653458576868581</v>
      </c>
    </row>
    <row r="29">
      <c r="A29" s="0" t="inlineStr">
        <is>
          <t xml:space="preserve">EBITDA</t>
        </is>
      </c>
      <c r="B29" s="8">
        <f>'Year to date and full year, P&amp;L'!B12</f>
        <v>8735227</v>
      </c>
      <c r="C29" s="8">
        <f>'Year to date and full year, P&amp;L'!C12</f>
        <v>10461200</v>
      </c>
      <c r="D29" s="8">
        <f>'Year to date and full year, P&amp;L'!D12</f>
        <v>-1725973</v>
      </c>
      <c r="E29" s="8">
        <f>'Year to date and full year, P&amp;L'!E12</f>
        <v>12247962.639255233</v>
      </c>
      <c r="F29" s="8">
        <f>'Year to date and full year, P&amp;L'!F12</f>
        <v>16696700</v>
      </c>
      <c r="G29" s="8">
        <f>'Year to date and full year, P&amp;L'!G12</f>
        <v>-4448737.360744777</v>
      </c>
      <c r="H29" s="12">
        <f>'Year to date and full year, P&amp;L'!H12</f>
        <v>-0.2664441093596206</v>
      </c>
    </row>
    <row r="30">
      <c r="A30" s="0" t="inlineStr">
        <is>
          <t xml:space="preserve">EBITDA margin</t>
        </is>
      </c>
      <c r="B30" s="12">
        <f>'Year to date and full year, P&amp;L'!B13</f>
        <v>0.1743774149446604</v>
      </c>
      <c r="C30" s="12">
        <f>'Year to date and full year, P&amp;L'!C13</f>
        <v>0.20468610896426231</v>
      </c>
      <c r="D30" s="12">
        <f>'Year to date and full year, P&amp;L'!D13</f>
        <v>-0.0303086940196019</v>
      </c>
      <c r="E30" s="12">
        <f>'Year to date and full year, P&amp;L'!E13</f>
        <v>0.15844624844066382</v>
      </c>
      <c r="F30" s="12">
        <f>'Year to date and full year, P&amp;L'!F13</f>
        <v>0.20531590467524163</v>
      </c>
      <c r="G30" s="12">
        <f>'Year to date and full year, P&amp;L'!G13</f>
        <v>-0.04686965623457781</v>
      </c>
      <c r="H30" s="12">
        <f>'Year to date and full year, P&amp;L'!H13</f>
      </c>
    </row>
    <row r="31">
      <c r="A31" s="0" t="inlineStr">
        <is>
          <t xml:space="preserve">Headcount (period end)</t>
        </is>
      </c>
      <c r="B31" s="4">
        <f>'Year to date and full year, P&amp;L'!B14</f>
        <v>157</v>
      </c>
      <c r="C31" s="4">
        <f>'Year to date and full year, P&amp;L'!C14</f>
      </c>
      <c r="D31" s="4">
        <f>'Year to date and full year, P&amp;L'!D14</f>
      </c>
      <c r="E31" s="4">
        <f>'Year to date and full year, P&amp;L'!E14</f>
        <v>181</v>
      </c>
      <c r="F31" s="4">
        <f>'Year to date and full year, P&amp;L'!F14</f>
      </c>
      <c r="G31" s="4">
        <f>'Year to date and full year, P&amp;L'!G14</f>
      </c>
      <c r="H31" s="12">
        <f>'Year to date and full year, P&amp;L'!H14</f>
      </c>
    </row>
    <row r="33">
      <c r="A33" s="1" t="inlineStr">
        <is>
          <t xml:space="preserve">P&amp;L by month: actuals through August, forecast from September</t>
        </is>
      </c>
    </row>
    <row r="34">
      <c r="A34" s="1" t="inlineStr">
        <is>
          <t xml:space="preserve">line</t>
        </is>
      </c>
      <c r="B34" s="1" t="inlineStr">
        <is>
          <t xml:space="preserve">Jan-26</t>
        </is>
      </c>
      <c r="C34" s="1" t="inlineStr">
        <is>
          <t xml:space="preserve">Feb-26</t>
        </is>
      </c>
      <c r="D34" s="1" t="inlineStr">
        <is>
          <t xml:space="preserve">Mar-26</t>
        </is>
      </c>
      <c r="E34" s="1" t="inlineStr">
        <is>
          <t xml:space="preserve">Apr-26</t>
        </is>
      </c>
      <c r="F34" s="1" t="inlineStr">
        <is>
          <t xml:space="preserve">May-26</t>
        </is>
      </c>
      <c r="G34" s="1" t="inlineStr">
        <is>
          <t xml:space="preserve">Jun-26</t>
        </is>
      </c>
      <c r="H34" s="1" t="inlineStr">
        <is>
          <t xml:space="preserve">Jul-26</t>
        </is>
      </c>
      <c r="I34" s="1" t="inlineStr">
        <is>
          <t xml:space="preserve">Aug-26</t>
        </is>
      </c>
      <c r="J34" s="1" t="inlineStr">
        <is>
          <t xml:space="preserve">Sep-26</t>
        </is>
      </c>
      <c r="K34" s="1" t="inlineStr">
        <is>
          <t xml:space="preserve">Oct-26</t>
        </is>
      </c>
      <c r="L34" s="1" t="inlineStr">
        <is>
          <t xml:space="preserve">Nov-26</t>
        </is>
      </c>
      <c r="M34" s="1" t="inlineStr">
        <is>
          <t xml:space="preserve">Dec-26</t>
        </is>
      </c>
    </row>
    <row r="35">
      <c r="A35" s="0" t="inlineStr">
        <is>
          <t xml:space="preserve">Revenue</t>
        </is>
      </c>
      <c r="B35" s="8">
        <f>'P&amp;L, company'!B2</f>
        <v>5805377</v>
      </c>
      <c r="C35" s="8">
        <f>'P&amp;L, company'!C2</f>
        <v>5971791</v>
      </c>
      <c r="D35" s="8">
        <f>'P&amp;L, company'!D2</f>
        <v>6163400</v>
      </c>
      <c r="E35" s="8">
        <f>'P&amp;L, company'!E2</f>
        <v>6308539</v>
      </c>
      <c r="F35" s="8">
        <f>'P&amp;L, company'!F2</f>
        <v>6303996</v>
      </c>
      <c r="G35" s="8">
        <f>'P&amp;L, company'!G2</f>
        <v>6697760</v>
      </c>
      <c r="H35" s="8">
        <f>'P&amp;L, company'!H2</f>
        <v>6355349</v>
      </c>
      <c r="I35" s="8">
        <f>'P&amp;L, company'!I2</f>
        <v>6487586</v>
      </c>
      <c r="J35" s="8">
        <f>'P&amp;L, company'!J2</f>
        <v>6610850.134</v>
      </c>
      <c r="K35" s="8">
        <f>'P&amp;L, company'!K2</f>
        <v>6736456.286545999</v>
      </c>
      <c r="L35" s="8">
        <f>'P&amp;L, company'!L2</f>
        <v>6864448.955990372</v>
      </c>
      <c r="M35" s="8">
        <f>'P&amp;L, company'!M2</f>
        <v>6994873.486154189</v>
      </c>
    </row>
    <row r="36">
      <c r="A36" s="0" t="inlineStr">
        <is>
          <t xml:space="preserve">Cost of revenue</t>
        </is>
      </c>
      <c r="B36" s="8">
        <f>'P&amp;L, company'!B3</f>
        <v>-986170</v>
      </c>
      <c r="C36" s="8">
        <f>'P&amp;L, company'!C3</f>
        <v>-952408</v>
      </c>
      <c r="D36" s="8">
        <f>'P&amp;L, company'!D3</f>
        <v>-1034787</v>
      </c>
      <c r="E36" s="8">
        <f>'P&amp;L, company'!E3</f>
        <v>-1087972</v>
      </c>
      <c r="F36" s="8">
        <f>'P&amp;L, company'!F3</f>
        <v>-1096306</v>
      </c>
      <c r="G36" s="8">
        <f>'P&amp;L, company'!G3</f>
        <v>-1135360</v>
      </c>
      <c r="H36" s="8">
        <f>'P&amp;L, company'!H3</f>
        <v>-1071020</v>
      </c>
      <c r="I36" s="8">
        <f>'P&amp;L, company'!I3</f>
        <v>-1133210</v>
      </c>
      <c r="J36" s="8">
        <f>'P&amp;L, company'!J3</f>
        <v>-1117233.6726459998</v>
      </c>
      <c r="K36" s="8">
        <f>'P&amp;L, company'!K3</f>
        <v>-1138461.1124262738</v>
      </c>
      <c r="L36" s="8">
        <f>'P&amp;L, company'!L3</f>
        <v>-1160091.8735623728</v>
      </c>
      <c r="M36" s="8">
        <f>'P&amp;L, company'!M3</f>
        <v>-1182133.6191600577</v>
      </c>
    </row>
    <row r="37">
      <c r="A37" s="0" t="inlineStr">
        <is>
          <t xml:space="preserve">Gross profit</t>
        </is>
      </c>
      <c r="B37" s="8">
        <f>'P&amp;L, company'!B4</f>
        <v>4819207</v>
      </c>
      <c r="C37" s="8">
        <f>'P&amp;L, company'!C4</f>
        <v>5019383</v>
      </c>
      <c r="D37" s="8">
        <f>'P&amp;L, company'!D4</f>
        <v>5128613</v>
      </c>
      <c r="E37" s="8">
        <f>'P&amp;L, company'!E4</f>
        <v>5220567</v>
      </c>
      <c r="F37" s="8">
        <f>'P&amp;L, company'!F4</f>
        <v>5207690</v>
      </c>
      <c r="G37" s="8">
        <f>'P&amp;L, company'!G4</f>
        <v>5562400</v>
      </c>
      <c r="H37" s="8">
        <f>'P&amp;L, company'!H4</f>
        <v>5284329</v>
      </c>
      <c r="I37" s="8">
        <f>'P&amp;L, company'!I4</f>
        <v>5354376</v>
      </c>
      <c r="J37" s="8">
        <f>'P&amp;L, company'!J4</f>
        <v>5493616.4613540005</v>
      </c>
      <c r="K37" s="8">
        <f>'P&amp;L, company'!K4</f>
        <v>5597995.174119726</v>
      </c>
      <c r="L37" s="8">
        <f>'P&amp;L, company'!L4</f>
        <v>5704357.082427999</v>
      </c>
      <c r="M37" s="8">
        <f>'P&amp;L, company'!M4</f>
        <v>5812739.866994131</v>
      </c>
    </row>
    <row r="38">
      <c r="A38" s="0" t="inlineStr">
        <is>
          <t xml:space="preserve">Gross margin</t>
        </is>
      </c>
      <c r="B38" s="12">
        <f>'P&amp;L, company'!B5</f>
        <v>0.8301281725545129</v>
      </c>
      <c r="C38" s="12">
        <f>'P&amp;L, company'!C5</f>
        <v>0.8405155170366813</v>
      </c>
      <c r="D38" s="12">
        <f>'P&amp;L, company'!D5</f>
        <v>0.8321077651945354</v>
      </c>
      <c r="E38" s="12">
        <f>'P&amp;L, company'!E5</f>
        <v>0.8275397837756095</v>
      </c>
      <c r="F38" s="12">
        <f>'P&amp;L, company'!F5</f>
        <v>0.8260934810237823</v>
      </c>
      <c r="G38" s="12">
        <f>'P&amp;L, company'!G5</f>
        <v>0.8304866104488665</v>
      </c>
      <c r="H38" s="12">
        <f>'P&amp;L, company'!H5</f>
        <v>0.8314773901480469</v>
      </c>
      <c r="I38" s="12">
        <f>'P&amp;L, company'!I5</f>
        <v>0.8253264002974295</v>
      </c>
      <c r="J38" s="12">
        <f>'P&amp;L, company'!J5</f>
        <v>0.8310000000000001</v>
      </c>
      <c r="K38" s="12">
        <f>'P&amp;L, company'!K5</f>
        <v>0.8310000000000001</v>
      </c>
      <c r="L38" s="12">
        <f>'P&amp;L, company'!L5</f>
        <v>0.831</v>
      </c>
      <c r="M38" s="12">
        <f>'P&amp;L, company'!M5</f>
        <v>0.831</v>
      </c>
    </row>
    <row r="39">
      <c r="A39" s="0" t="inlineStr">
        <is>
          <t xml:space="preserve">Sales</t>
        </is>
      </c>
      <c r="B39" s="8">
        <f>'P&amp;L, company'!B6</f>
        <v>-849341</v>
      </c>
      <c r="C39" s="8">
        <f>'P&amp;L, company'!C6</f>
        <v>-867858</v>
      </c>
      <c r="D39" s="8">
        <f>'P&amp;L, company'!D6</f>
        <v>-863615</v>
      </c>
      <c r="E39" s="8">
        <f>'P&amp;L, company'!E6</f>
        <v>-886420</v>
      </c>
      <c r="F39" s="8">
        <f>'P&amp;L, company'!F6</f>
        <v>-936465</v>
      </c>
      <c r="G39" s="8">
        <f>'P&amp;L, company'!G6</f>
        <v>-929182</v>
      </c>
      <c r="H39" s="8">
        <f>'P&amp;L, company'!H6</f>
        <v>-923299</v>
      </c>
      <c r="I39" s="8">
        <f>'P&amp;L, company'!I6</f>
        <v>-920764</v>
      </c>
      <c r="J39" s="8">
        <f>'P&amp;L, company'!J6</f>
        <v>-1034632.2342979999</v>
      </c>
      <c r="K39" s="8">
        <f>'P&amp;L, company'!K6</f>
        <v>-1057647.502135662</v>
      </c>
      <c r="L39" s="8">
        <f>'P&amp;L, company'!L6</f>
        <v>-1064084.9519395556</v>
      </c>
      <c r="M39" s="8">
        <f>'P&amp;L, company'!M6</f>
        <v>-1087331.7299633028</v>
      </c>
    </row>
    <row r="40">
      <c r="A40" s="0" t="inlineStr">
        <is>
          <t xml:space="preserve">Marketing</t>
        </is>
      </c>
      <c r="B40" s="8">
        <f>'P&amp;L, company'!B7</f>
        <v>-683393</v>
      </c>
      <c r="C40" s="8">
        <f>'P&amp;L, company'!C7</f>
        <v>-705740</v>
      </c>
      <c r="D40" s="8">
        <f>'P&amp;L, company'!D7</f>
        <v>-788776</v>
      </c>
      <c r="E40" s="8">
        <f>'P&amp;L, company'!E7</f>
        <v>-747374</v>
      </c>
      <c r="F40" s="8">
        <f>'P&amp;L, company'!F7</f>
        <v>-783071</v>
      </c>
      <c r="G40" s="8">
        <f>'P&amp;L, company'!G7</f>
        <v>-786388</v>
      </c>
      <c r="H40" s="8">
        <f>'P&amp;L, company'!H7</f>
        <v>-783573</v>
      </c>
      <c r="I40" s="8">
        <f>'P&amp;L, company'!I7</f>
        <v>-767728</v>
      </c>
      <c r="J40" s="8">
        <f>'P&amp;L, company'!J7</f>
        <v>-813450.2337886665</v>
      </c>
      <c r="K40" s="8">
        <f>'P&amp;L, company'!K7</f>
        <v>-838259.1978193179</v>
      </c>
      <c r="L40" s="8">
        <f>'P&amp;L, company'!L7</f>
        <v>-849104.2313394169</v>
      </c>
      <c r="M40" s="8">
        <f>'P&amp;L, company'!M7</f>
        <v>-860152.4391509669</v>
      </c>
    </row>
    <row r="41">
      <c r="A41" s="0" t="inlineStr">
        <is>
          <t xml:space="preserve">Engineering</t>
        </is>
      </c>
      <c r="B41" s="8">
        <f>'P&amp;L, company'!B8</f>
        <v>-1600623</v>
      </c>
      <c r="C41" s="8">
        <f>'P&amp;L, company'!C8</f>
        <v>-1720715</v>
      </c>
      <c r="D41" s="8">
        <f>'P&amp;L, company'!D8</f>
        <v>-1799591</v>
      </c>
      <c r="E41" s="8">
        <f>'P&amp;L, company'!E8</f>
        <v>-1815438</v>
      </c>
      <c r="F41" s="8">
        <f>'P&amp;L, company'!F8</f>
        <v>-1777277</v>
      </c>
      <c r="G41" s="8">
        <f>'P&amp;L, company'!G8</f>
        <v>-1978006</v>
      </c>
      <c r="H41" s="8">
        <f>'P&amp;L, company'!H8</f>
        <v>-1935577</v>
      </c>
      <c r="I41" s="8">
        <f>'P&amp;L, company'!I8</f>
        <v>-1923389</v>
      </c>
      <c r="J41" s="8">
        <f>'P&amp;L, company'!J8</f>
        <v>-2117921.850592667</v>
      </c>
      <c r="K41" s="8">
        <f>'P&amp;L, company'!K8</f>
        <v>-2149044.291967927</v>
      </c>
      <c r="L41" s="8">
        <f>'P&amp;L, company'!L8</f>
        <v>-2196772.464309935</v>
      </c>
      <c r="M41" s="8">
        <f>'P&amp;L, company'!M8</f>
        <v>-2228332.429204542</v>
      </c>
    </row>
    <row r="42">
      <c r="A42" s="0" t="inlineStr">
        <is>
          <t xml:space="preserve">Customer success</t>
        </is>
      </c>
      <c r="B42" s="8">
        <f>'P&amp;L, company'!B9</f>
        <v>-183354</v>
      </c>
      <c r="C42" s="8">
        <f>'P&amp;L, company'!C9</f>
        <v>-216793</v>
      </c>
      <c r="D42" s="8">
        <f>'P&amp;L, company'!D9</f>
        <v>-212232</v>
      </c>
      <c r="E42" s="8">
        <f>'P&amp;L, company'!E9</f>
        <v>-214549</v>
      </c>
      <c r="F42" s="8">
        <f>'P&amp;L, company'!F9</f>
        <v>-225075</v>
      </c>
      <c r="G42" s="8">
        <f>'P&amp;L, company'!G9</f>
        <v>-229633</v>
      </c>
      <c r="H42" s="8">
        <f>'P&amp;L, company'!H9</f>
        <v>-234078</v>
      </c>
      <c r="I42" s="8">
        <f>'P&amp;L, company'!I9</f>
        <v>-250217</v>
      </c>
      <c r="J42" s="8">
        <f>'P&amp;L, company'!J9</f>
        <v>-239775.18800000002</v>
      </c>
      <c r="K42" s="8">
        <f>'P&amp;L, company'!K9</f>
        <v>-250998.2744613333</v>
      </c>
      <c r="L42" s="8">
        <f>'P&amp;L, company'!L9</f>
        <v>-251093.5961081013</v>
      </c>
      <c r="M42" s="8">
        <f>'P&amp;L, company'!M9</f>
        <v>-251189.48968474992</v>
      </c>
    </row>
    <row r="43">
      <c r="A43" s="0" t="inlineStr">
        <is>
          <t xml:space="preserve">G&amp;A</t>
        </is>
      </c>
      <c r="B43" s="8">
        <f>'P&amp;L, company'!B10</f>
        <v>-387726</v>
      </c>
      <c r="C43" s="8">
        <f>'P&amp;L, company'!C10</f>
        <v>-409294</v>
      </c>
      <c r="D43" s="8">
        <f>'P&amp;L, company'!D10</f>
        <v>-403582</v>
      </c>
      <c r="E43" s="8">
        <f>'P&amp;L, company'!E10</f>
        <v>-422121</v>
      </c>
      <c r="F43" s="8">
        <f>'P&amp;L, company'!F10</f>
        <v>-420311</v>
      </c>
      <c r="G43" s="8">
        <f>'P&amp;L, company'!G10</f>
        <v>-420183</v>
      </c>
      <c r="H43" s="8">
        <f>'P&amp;L, company'!H10</f>
        <v>-439279</v>
      </c>
      <c r="I43" s="8">
        <f>'P&amp;L, company'!I10</f>
        <v>-419308</v>
      </c>
      <c r="J43" s="8">
        <f>'P&amp;L, company'!J10</f>
        <v>-449712.6026666667</v>
      </c>
      <c r="K43" s="8">
        <f>'P&amp;L, company'!K10</f>
        <v>-450929.7982826667</v>
      </c>
      <c r="L43" s="8">
        <f>'P&amp;L, company'!L10</f>
        <v>-452154.2970723627</v>
      </c>
      <c r="M43" s="8">
        <f>'P&amp;L, company'!M10</f>
        <v>-453386.1428547968</v>
      </c>
    </row>
    <row r="44">
      <c r="A44" s="0" t="inlineStr">
        <is>
          <t xml:space="preserve">Total operating expenses</t>
        </is>
      </c>
      <c r="B44" s="8">
        <f>'P&amp;L, company'!B11</f>
        <v>-3704437</v>
      </c>
      <c r="C44" s="8">
        <f>'P&amp;L, company'!C11</f>
        <v>-3920400</v>
      </c>
      <c r="D44" s="8">
        <f>'P&amp;L, company'!D11</f>
        <v>-4067796</v>
      </c>
      <c r="E44" s="8">
        <f>'P&amp;L, company'!E11</f>
        <v>-4085902</v>
      </c>
      <c r="F44" s="8">
        <f>'P&amp;L, company'!F11</f>
        <v>-4142199</v>
      </c>
      <c r="G44" s="8">
        <f>'P&amp;L, company'!G11</f>
        <v>-4343392</v>
      </c>
      <c r="H44" s="8">
        <f>'P&amp;L, company'!H11</f>
        <v>-4315806</v>
      </c>
      <c r="I44" s="8">
        <f>'P&amp;L, company'!I11</f>
        <v>-4281406</v>
      </c>
      <c r="J44" s="8">
        <f>'P&amp;L, company'!J11</f>
        <v>-4655492.109346</v>
      </c>
      <c r="K44" s="8">
        <f>'P&amp;L, company'!K11</f>
        <v>-4746879.064666907</v>
      </c>
      <c r="L44" s="8">
        <f>'P&amp;L, company'!L11</f>
        <v>-4813209.540769371</v>
      </c>
      <c r="M44" s="8">
        <f>'P&amp;L, company'!M11</f>
        <v>-4880392.230858359</v>
      </c>
    </row>
    <row r="45">
      <c r="A45" s="0" t="inlineStr">
        <is>
          <t xml:space="preserve">EBITDA</t>
        </is>
      </c>
      <c r="B45" s="8">
        <f>'P&amp;L, company'!B12</f>
        <v>1114770</v>
      </c>
      <c r="C45" s="8">
        <f>'P&amp;L, company'!C12</f>
        <v>1098983</v>
      </c>
      <c r="D45" s="8">
        <f>'P&amp;L, company'!D12</f>
        <v>1060817</v>
      </c>
      <c r="E45" s="8">
        <f>'P&amp;L, company'!E12</f>
        <v>1134665</v>
      </c>
      <c r="F45" s="8">
        <f>'P&amp;L, company'!F12</f>
        <v>1065491</v>
      </c>
      <c r="G45" s="8">
        <f>'P&amp;L, company'!G12</f>
        <v>1219008</v>
      </c>
      <c r="H45" s="8">
        <f>'P&amp;L, company'!H12</f>
        <v>968523</v>
      </c>
      <c r="I45" s="8">
        <f>'P&amp;L, company'!I12</f>
        <v>1072970</v>
      </c>
      <c r="J45" s="8">
        <f>'P&amp;L, company'!J12</f>
        <v>838124.3520080002</v>
      </c>
      <c r="K45" s="8">
        <f>'P&amp;L, company'!K12</f>
        <v>851116.1094528183</v>
      </c>
      <c r="L45" s="8">
        <f>'P&amp;L, company'!L12</f>
        <v>891147.5416586283</v>
      </c>
      <c r="M45" s="8">
        <f>'P&amp;L, company'!M12</f>
        <v>932347.6361357728</v>
      </c>
    </row>
    <row r="46">
      <c r="A46" s="0" t="inlineStr">
        <is>
          <t xml:space="preserve">EBITDA margin</t>
        </is>
      </c>
      <c r="B46" s="12">
        <f>'P&amp;L, company'!B13</f>
        <v>0.19202370492045565</v>
      </c>
      <c r="C46" s="12">
        <f>'P&amp;L, company'!C13</f>
        <v>0.1840290458925974</v>
      </c>
      <c r="D46" s="12">
        <f>'P&amp;L, company'!D13</f>
        <v>0.17211555310380633</v>
      </c>
      <c r="E46" s="12">
        <f>'P&amp;L, company'!E13</f>
        <v>0.1798617714814793</v>
      </c>
      <c r="F46" s="12">
        <f>'P&amp;L, company'!F13</f>
        <v>0.1690183496309325</v>
      </c>
      <c r="G46" s="12">
        <f>'P&amp;L, company'!G13</f>
        <v>0.18200234108119728</v>
      </c>
      <c r="H46" s="12">
        <f>'P&amp;L, company'!H13</f>
        <v>0.15239493535288148</v>
      </c>
      <c r="I46" s="12">
        <f>'P&amp;L, company'!I13</f>
        <v>0.16538817365966324</v>
      </c>
      <c r="J46" s="12">
        <f>'P&amp;L, company'!J13</f>
        <v>0.12678011678066584</v>
      </c>
      <c r="K46" s="12">
        <f>'P&amp;L, company'!K13</f>
        <v>0.1263447832583225</v>
      </c>
      <c r="L46" s="12">
        <f>'P&amp;L, company'!L13</f>
        <v>0.12982069607800842</v>
      </c>
      <c r="M46" s="12">
        <f>'P&amp;L, company'!M13</f>
        <v>0.13329013569456014</v>
      </c>
    </row>
    <row r="47">
      <c r="A47" s="0" t="inlineStr">
        <is>
          <t xml:space="preserve">Headcount (period end)</t>
        </is>
      </c>
      <c r="B47" s="4">
        <f>'P&amp;L, company'!B14</f>
        <v>131</v>
      </c>
      <c r="C47" s="4">
        <f>'P&amp;L, company'!C14</f>
        <v>134</v>
      </c>
      <c r="D47" s="4">
        <f>'P&amp;L, company'!D14</f>
        <v>140</v>
      </c>
      <c r="E47" s="4">
        <f>'P&amp;L, company'!E14</f>
        <v>143</v>
      </c>
      <c r="F47" s="4">
        <f>'P&amp;L, company'!F14</f>
        <v>147</v>
      </c>
      <c r="G47" s="4">
        <f>'P&amp;L, company'!G14</f>
        <v>150</v>
      </c>
      <c r="H47" s="4">
        <f>'P&amp;L, company'!H14</f>
        <v>154</v>
      </c>
      <c r="I47" s="4">
        <f>'P&amp;L, company'!I14</f>
        <v>157</v>
      </c>
      <c r="J47" s="4">
        <f>'P&amp;L, company'!J14</f>
        <v>173</v>
      </c>
      <c r="K47" s="4">
        <f>'P&amp;L, company'!K14</f>
        <v>177</v>
      </c>
      <c r="L47" s="4">
        <f>'P&amp;L, company'!L14</f>
        <v>179</v>
      </c>
      <c r="M47" s="4">
        <f>'P&amp;L, company'!M14</f>
        <v>181</v>
      </c>
    </row>
    <row r="49">
      <c r="A49" s="1" t="inlineStr">
        <is>
          <t xml:space="preserve">Revenue, gross profit and EBITDA by month</t>
        </is>
      </c>
    </row>
    <row r="50">
      <c r="A50" s="1" t="inlineStr">
        <is>
          <t xml:space="preserve">line</t>
        </is>
      </c>
      <c r="B50" s="1" t="inlineStr">
        <is>
          <t xml:space="preserve">Jan-26</t>
        </is>
      </c>
      <c r="C50" s="1" t="inlineStr">
        <is>
          <t xml:space="preserve">Feb-26</t>
        </is>
      </c>
      <c r="D50" s="1" t="inlineStr">
        <is>
          <t xml:space="preserve">Mar-26</t>
        </is>
      </c>
      <c r="E50" s="1" t="inlineStr">
        <is>
          <t xml:space="preserve">Apr-26</t>
        </is>
      </c>
      <c r="F50" s="1" t="inlineStr">
        <is>
          <t xml:space="preserve">May-26</t>
        </is>
      </c>
      <c r="G50" s="1" t="inlineStr">
        <is>
          <t xml:space="preserve">Jun-26</t>
        </is>
      </c>
      <c r="H50" s="1" t="inlineStr">
        <is>
          <t xml:space="preserve">Jul-26</t>
        </is>
      </c>
      <c r="I50" s="1" t="inlineStr">
        <is>
          <t xml:space="preserve">Aug-26</t>
        </is>
      </c>
      <c r="J50" s="1" t="inlineStr">
        <is>
          <t xml:space="preserve">Sep-26</t>
        </is>
      </c>
      <c r="K50" s="1" t="inlineStr">
        <is>
          <t xml:space="preserve">Oct-26</t>
        </is>
      </c>
      <c r="L50" s="1" t="inlineStr">
        <is>
          <t xml:space="preserve">Nov-26</t>
        </is>
      </c>
      <c r="M50" s="1" t="inlineStr">
        <is>
          <t xml:space="preserve">Dec-26</t>
        </is>
      </c>
    </row>
    <row r="51">
      <c r="A51" s="0" t="inlineStr">
        <is>
          <t xml:space="preserve">Revenue</t>
        </is>
      </c>
      <c r="B51" s="8">
        <f>'P&amp;L, company'!B2</f>
        <v>5805377</v>
      </c>
      <c r="C51" s="8">
        <f>'P&amp;L, company'!C2</f>
        <v>5971791</v>
      </c>
      <c r="D51" s="8">
        <f>'P&amp;L, company'!D2</f>
        <v>6163400</v>
      </c>
      <c r="E51" s="8">
        <f>'P&amp;L, company'!E2</f>
        <v>6308539</v>
      </c>
      <c r="F51" s="8">
        <f>'P&amp;L, company'!F2</f>
        <v>6303996</v>
      </c>
      <c r="G51" s="8">
        <f>'P&amp;L, company'!G2</f>
        <v>6697760</v>
      </c>
      <c r="H51" s="8">
        <f>'P&amp;L, company'!H2</f>
        <v>6355349</v>
      </c>
      <c r="I51" s="8">
        <f>'P&amp;L, company'!I2</f>
        <v>6487586</v>
      </c>
      <c r="J51" s="8">
        <f>'P&amp;L, company'!J2</f>
        <v>6610850.134</v>
      </c>
      <c r="K51" s="8">
        <f>'P&amp;L, company'!K2</f>
        <v>6736456.286545999</v>
      </c>
      <c r="L51" s="8">
        <f>'P&amp;L, company'!L2</f>
        <v>6864448.955990372</v>
      </c>
      <c r="M51" s="8">
        <f>'P&amp;L, company'!M2</f>
        <v>6994873.486154189</v>
      </c>
    </row>
    <row r="52">
      <c r="A52" s="0" t="inlineStr">
        <is>
          <t xml:space="preserve">Gross profit</t>
        </is>
      </c>
      <c r="B52" s="8">
        <f>'P&amp;L, company'!B4</f>
        <v>4819207</v>
      </c>
      <c r="C52" s="8">
        <f>'P&amp;L, company'!C4</f>
        <v>5019383</v>
      </c>
      <c r="D52" s="8">
        <f>'P&amp;L, company'!D4</f>
        <v>5128613</v>
      </c>
      <c r="E52" s="8">
        <f>'P&amp;L, company'!E4</f>
        <v>5220567</v>
      </c>
      <c r="F52" s="8">
        <f>'P&amp;L, company'!F4</f>
        <v>5207690</v>
      </c>
      <c r="G52" s="8">
        <f>'P&amp;L, company'!G4</f>
        <v>5562400</v>
      </c>
      <c r="H52" s="8">
        <f>'P&amp;L, company'!H4</f>
        <v>5284329</v>
      </c>
      <c r="I52" s="8">
        <f>'P&amp;L, company'!I4</f>
        <v>5354376</v>
      </c>
      <c r="J52" s="8">
        <f>'P&amp;L, company'!J4</f>
        <v>5493616.4613540005</v>
      </c>
      <c r="K52" s="8">
        <f>'P&amp;L, company'!K4</f>
        <v>5597995.174119726</v>
      </c>
      <c r="L52" s="8">
        <f>'P&amp;L, company'!L4</f>
        <v>5704357.082427999</v>
      </c>
      <c r="M52" s="8">
        <f>'P&amp;L, company'!M4</f>
        <v>5812739.866994131</v>
      </c>
    </row>
    <row r="53">
      <c r="A53" s="0" t="inlineStr">
        <is>
          <t xml:space="preserve">EBITDA</t>
        </is>
      </c>
      <c r="B53" s="8">
        <f>'P&amp;L, company'!B12</f>
        <v>1114770</v>
      </c>
      <c r="C53" s="8">
        <f>'P&amp;L, company'!C12</f>
        <v>1098983</v>
      </c>
      <c r="D53" s="8">
        <f>'P&amp;L, company'!D12</f>
        <v>1060817</v>
      </c>
      <c r="E53" s="8">
        <f>'P&amp;L, company'!E12</f>
        <v>1134665</v>
      </c>
      <c r="F53" s="8">
        <f>'P&amp;L, company'!F12</f>
        <v>1065491</v>
      </c>
      <c r="G53" s="8">
        <f>'P&amp;L, company'!G12</f>
        <v>1219008</v>
      </c>
      <c r="H53" s="8">
        <f>'P&amp;L, company'!H12</f>
        <v>968523</v>
      </c>
      <c r="I53" s="8">
        <f>'P&amp;L, company'!I12</f>
        <v>1072970</v>
      </c>
      <c r="J53" s="8">
        <f>'P&amp;L, company'!J12</f>
        <v>838124.3520080002</v>
      </c>
      <c r="K53" s="8">
        <f>'P&amp;L, company'!K12</f>
        <v>851116.1094528183</v>
      </c>
      <c r="L53" s="8">
        <f>'P&amp;L, company'!L12</f>
        <v>891147.5416586283</v>
      </c>
      <c r="M53" s="8">
        <f>'P&amp;L, company'!M12</f>
        <v>932347.6361357728</v>
      </c>
    </row>
    <row r="72">
      <c r="A72" s="1" t="inlineStr">
        <is>
          <t xml:space="preserve">Margins by month</t>
        </is>
      </c>
    </row>
    <row r="73">
      <c r="A73" s="1" t="inlineStr">
        <is>
          <t xml:space="preserve">line</t>
        </is>
      </c>
      <c r="B73" s="1" t="inlineStr">
        <is>
          <t xml:space="preserve">Jan-26</t>
        </is>
      </c>
      <c r="C73" s="1" t="inlineStr">
        <is>
          <t xml:space="preserve">Feb-26</t>
        </is>
      </c>
      <c r="D73" s="1" t="inlineStr">
        <is>
          <t xml:space="preserve">Mar-26</t>
        </is>
      </c>
      <c r="E73" s="1" t="inlineStr">
        <is>
          <t xml:space="preserve">Apr-26</t>
        </is>
      </c>
      <c r="F73" s="1" t="inlineStr">
        <is>
          <t xml:space="preserve">May-26</t>
        </is>
      </c>
      <c r="G73" s="1" t="inlineStr">
        <is>
          <t xml:space="preserve">Jun-26</t>
        </is>
      </c>
      <c r="H73" s="1" t="inlineStr">
        <is>
          <t xml:space="preserve">Jul-26</t>
        </is>
      </c>
      <c r="I73" s="1" t="inlineStr">
        <is>
          <t xml:space="preserve">Aug-26</t>
        </is>
      </c>
      <c r="J73" s="1" t="inlineStr">
        <is>
          <t xml:space="preserve">Sep-26</t>
        </is>
      </c>
      <c r="K73" s="1" t="inlineStr">
        <is>
          <t xml:space="preserve">Oct-26</t>
        </is>
      </c>
      <c r="L73" s="1" t="inlineStr">
        <is>
          <t xml:space="preserve">Nov-26</t>
        </is>
      </c>
      <c r="M73" s="1" t="inlineStr">
        <is>
          <t xml:space="preserve">Dec-26</t>
        </is>
      </c>
    </row>
    <row r="74">
      <c r="A74" s="0" t="inlineStr">
        <is>
          <t xml:space="preserve">Gross margin</t>
        </is>
      </c>
      <c r="B74" s="12">
        <f>'P&amp;L, company'!B5</f>
        <v>0.8301281725545129</v>
      </c>
      <c r="C74" s="12">
        <f>'P&amp;L, company'!C5</f>
        <v>0.8405155170366813</v>
      </c>
      <c r="D74" s="12">
        <f>'P&amp;L, company'!D5</f>
        <v>0.8321077651945354</v>
      </c>
      <c r="E74" s="12">
        <f>'P&amp;L, company'!E5</f>
        <v>0.8275397837756095</v>
      </c>
      <c r="F74" s="12">
        <f>'P&amp;L, company'!F5</f>
        <v>0.8260934810237823</v>
      </c>
      <c r="G74" s="12">
        <f>'P&amp;L, company'!G5</f>
        <v>0.8304866104488665</v>
      </c>
      <c r="H74" s="12">
        <f>'P&amp;L, company'!H5</f>
        <v>0.8314773901480469</v>
      </c>
      <c r="I74" s="12">
        <f>'P&amp;L, company'!I5</f>
        <v>0.8253264002974295</v>
      </c>
      <c r="J74" s="12">
        <f>'P&amp;L, company'!J5</f>
        <v>0.8310000000000001</v>
      </c>
      <c r="K74" s="12">
        <f>'P&amp;L, company'!K5</f>
        <v>0.8310000000000001</v>
      </c>
      <c r="L74" s="12">
        <f>'P&amp;L, company'!L5</f>
        <v>0.831</v>
      </c>
      <c r="M74" s="12">
        <f>'P&amp;L, company'!M5</f>
        <v>0.831</v>
      </c>
    </row>
    <row r="75">
      <c r="A75" s="0" t="inlineStr">
        <is>
          <t xml:space="preserve">EBITDA margin</t>
        </is>
      </c>
      <c r="B75" s="12">
        <f>'P&amp;L, company'!B13</f>
        <v>0.19202370492045565</v>
      </c>
      <c r="C75" s="12">
        <f>'P&amp;L, company'!C13</f>
        <v>0.1840290458925974</v>
      </c>
      <c r="D75" s="12">
        <f>'P&amp;L, company'!D13</f>
        <v>0.17211555310380633</v>
      </c>
      <c r="E75" s="12">
        <f>'P&amp;L, company'!E13</f>
        <v>0.1798617714814793</v>
      </c>
      <c r="F75" s="12">
        <f>'P&amp;L, company'!F13</f>
        <v>0.1690183496309325</v>
      </c>
      <c r="G75" s="12">
        <f>'P&amp;L, company'!G13</f>
        <v>0.18200234108119728</v>
      </c>
      <c r="H75" s="12">
        <f>'P&amp;L, company'!H13</f>
        <v>0.15239493535288148</v>
      </c>
      <c r="I75" s="12">
        <f>'P&amp;L, company'!I13</f>
        <v>0.16538817365966324</v>
      </c>
      <c r="J75" s="12">
        <f>'P&amp;L, company'!J13</f>
        <v>0.12678011678066584</v>
      </c>
      <c r="K75" s="12">
        <f>'P&amp;L, company'!K13</f>
        <v>0.1263447832583225</v>
      </c>
      <c r="L75" s="12">
        <f>'P&amp;L, company'!L13</f>
        <v>0.12982069607800842</v>
      </c>
      <c r="M75" s="12">
        <f>'P&amp;L, company'!M13</f>
        <v>0.13329013569456014</v>
      </c>
    </row>
    <row r="94">
      <c r="A94" s="1" t="inlineStr">
        <is>
          <t xml:space="preserve">Operating expenses by department</t>
        </is>
      </c>
    </row>
    <row r="95">
      <c r="A95" s="1" t="inlineStr">
        <is>
          <t xml:space="preserve">line</t>
        </is>
      </c>
      <c r="B95" s="1" t="inlineStr">
        <is>
          <t xml:space="preserve">Jan-26</t>
        </is>
      </c>
      <c r="C95" s="1" t="inlineStr">
        <is>
          <t xml:space="preserve">Feb-26</t>
        </is>
      </c>
      <c r="D95" s="1" t="inlineStr">
        <is>
          <t xml:space="preserve">Mar-26</t>
        </is>
      </c>
      <c r="E95" s="1" t="inlineStr">
        <is>
          <t xml:space="preserve">Apr-26</t>
        </is>
      </c>
      <c r="F95" s="1" t="inlineStr">
        <is>
          <t xml:space="preserve">May-26</t>
        </is>
      </c>
      <c r="G95" s="1" t="inlineStr">
        <is>
          <t xml:space="preserve">Jun-26</t>
        </is>
      </c>
      <c r="H95" s="1" t="inlineStr">
        <is>
          <t xml:space="preserve">Jul-26</t>
        </is>
      </c>
      <c r="I95" s="1" t="inlineStr">
        <is>
          <t xml:space="preserve">Aug-26</t>
        </is>
      </c>
      <c r="J95" s="1" t="inlineStr">
        <is>
          <t xml:space="preserve">Sep-26</t>
        </is>
      </c>
      <c r="K95" s="1" t="inlineStr">
        <is>
          <t xml:space="preserve">Oct-26</t>
        </is>
      </c>
      <c r="L95" s="1" t="inlineStr">
        <is>
          <t xml:space="preserve">Nov-26</t>
        </is>
      </c>
      <c r="M95" s="1" t="inlineStr">
        <is>
          <t xml:space="preserve">Dec-26</t>
        </is>
      </c>
    </row>
    <row r="96">
      <c r="A96" s="0" t="inlineStr">
        <is>
          <t xml:space="preserve">Sales</t>
        </is>
      </c>
      <c r="B96" s="8">
        <f>'P&amp;L, company'!B6</f>
        <v>-849341</v>
      </c>
      <c r="C96" s="8">
        <f>'P&amp;L, company'!C6</f>
        <v>-867858</v>
      </c>
      <c r="D96" s="8">
        <f>'P&amp;L, company'!D6</f>
        <v>-863615</v>
      </c>
      <c r="E96" s="8">
        <f>'P&amp;L, company'!E6</f>
        <v>-886420</v>
      </c>
      <c r="F96" s="8">
        <f>'P&amp;L, company'!F6</f>
        <v>-936465</v>
      </c>
      <c r="G96" s="8">
        <f>'P&amp;L, company'!G6</f>
        <v>-929182</v>
      </c>
      <c r="H96" s="8">
        <f>'P&amp;L, company'!H6</f>
        <v>-923299</v>
      </c>
      <c r="I96" s="8">
        <f>'P&amp;L, company'!I6</f>
        <v>-920764</v>
      </c>
      <c r="J96" s="8">
        <f>'P&amp;L, company'!J6</f>
        <v>-1034632.2342979999</v>
      </c>
      <c r="K96" s="8">
        <f>'P&amp;L, company'!K6</f>
        <v>-1057647.502135662</v>
      </c>
      <c r="L96" s="8">
        <f>'P&amp;L, company'!L6</f>
        <v>-1064084.9519395556</v>
      </c>
      <c r="M96" s="8">
        <f>'P&amp;L, company'!M6</f>
        <v>-1087331.7299633028</v>
      </c>
    </row>
    <row r="97">
      <c r="A97" s="0" t="inlineStr">
        <is>
          <t xml:space="preserve">Marketing</t>
        </is>
      </c>
      <c r="B97" s="8">
        <f>'P&amp;L, company'!B7</f>
        <v>-683393</v>
      </c>
      <c r="C97" s="8">
        <f>'P&amp;L, company'!C7</f>
        <v>-705740</v>
      </c>
      <c r="D97" s="8">
        <f>'P&amp;L, company'!D7</f>
        <v>-788776</v>
      </c>
      <c r="E97" s="8">
        <f>'P&amp;L, company'!E7</f>
        <v>-747374</v>
      </c>
      <c r="F97" s="8">
        <f>'P&amp;L, company'!F7</f>
        <v>-783071</v>
      </c>
      <c r="G97" s="8">
        <f>'P&amp;L, company'!G7</f>
        <v>-786388</v>
      </c>
      <c r="H97" s="8">
        <f>'P&amp;L, company'!H7</f>
        <v>-783573</v>
      </c>
      <c r="I97" s="8">
        <f>'P&amp;L, company'!I7</f>
        <v>-767728</v>
      </c>
      <c r="J97" s="8">
        <f>'P&amp;L, company'!J7</f>
        <v>-813450.2337886665</v>
      </c>
      <c r="K97" s="8">
        <f>'P&amp;L, company'!K7</f>
        <v>-838259.1978193179</v>
      </c>
      <c r="L97" s="8">
        <f>'P&amp;L, company'!L7</f>
        <v>-849104.2313394169</v>
      </c>
      <c r="M97" s="8">
        <f>'P&amp;L, company'!M7</f>
        <v>-860152.4391509669</v>
      </c>
    </row>
    <row r="98">
      <c r="A98" s="0" t="inlineStr">
        <is>
          <t xml:space="preserve">Engineering</t>
        </is>
      </c>
      <c r="B98" s="8">
        <f>'P&amp;L, company'!B8</f>
        <v>-1600623</v>
      </c>
      <c r="C98" s="8">
        <f>'P&amp;L, company'!C8</f>
        <v>-1720715</v>
      </c>
      <c r="D98" s="8">
        <f>'P&amp;L, company'!D8</f>
        <v>-1799591</v>
      </c>
      <c r="E98" s="8">
        <f>'P&amp;L, company'!E8</f>
        <v>-1815438</v>
      </c>
      <c r="F98" s="8">
        <f>'P&amp;L, company'!F8</f>
        <v>-1777277</v>
      </c>
      <c r="G98" s="8">
        <f>'P&amp;L, company'!G8</f>
        <v>-1978006</v>
      </c>
      <c r="H98" s="8">
        <f>'P&amp;L, company'!H8</f>
        <v>-1935577</v>
      </c>
      <c r="I98" s="8">
        <f>'P&amp;L, company'!I8</f>
        <v>-1923389</v>
      </c>
      <c r="J98" s="8">
        <f>'P&amp;L, company'!J8</f>
        <v>-2117921.850592667</v>
      </c>
      <c r="K98" s="8">
        <f>'P&amp;L, company'!K8</f>
        <v>-2149044.291967927</v>
      </c>
      <c r="L98" s="8">
        <f>'P&amp;L, company'!L8</f>
        <v>-2196772.464309935</v>
      </c>
      <c r="M98" s="8">
        <f>'P&amp;L, company'!M8</f>
        <v>-2228332.429204542</v>
      </c>
    </row>
    <row r="99">
      <c r="A99" s="0" t="inlineStr">
        <is>
          <t xml:space="preserve">Customer success</t>
        </is>
      </c>
      <c r="B99" s="8">
        <f>'P&amp;L, company'!B9</f>
        <v>-183354</v>
      </c>
      <c r="C99" s="8">
        <f>'P&amp;L, company'!C9</f>
        <v>-216793</v>
      </c>
      <c r="D99" s="8">
        <f>'P&amp;L, company'!D9</f>
        <v>-212232</v>
      </c>
      <c r="E99" s="8">
        <f>'P&amp;L, company'!E9</f>
        <v>-214549</v>
      </c>
      <c r="F99" s="8">
        <f>'P&amp;L, company'!F9</f>
        <v>-225075</v>
      </c>
      <c r="G99" s="8">
        <f>'P&amp;L, company'!G9</f>
        <v>-229633</v>
      </c>
      <c r="H99" s="8">
        <f>'P&amp;L, company'!H9</f>
        <v>-234078</v>
      </c>
      <c r="I99" s="8">
        <f>'P&amp;L, company'!I9</f>
        <v>-250217</v>
      </c>
      <c r="J99" s="8">
        <f>'P&amp;L, company'!J9</f>
        <v>-239775.18800000002</v>
      </c>
      <c r="K99" s="8">
        <f>'P&amp;L, company'!K9</f>
        <v>-250998.2744613333</v>
      </c>
      <c r="L99" s="8">
        <f>'P&amp;L, company'!L9</f>
        <v>-251093.5961081013</v>
      </c>
      <c r="M99" s="8">
        <f>'P&amp;L, company'!M9</f>
        <v>-251189.48968474992</v>
      </c>
    </row>
    <row r="100">
      <c r="A100" s="0" t="inlineStr">
        <is>
          <t xml:space="preserve">G&amp;A</t>
        </is>
      </c>
      <c r="B100" s="8">
        <f>'P&amp;L, company'!B10</f>
        <v>-387726</v>
      </c>
      <c r="C100" s="8">
        <f>'P&amp;L, company'!C10</f>
        <v>-409294</v>
      </c>
      <c r="D100" s="8">
        <f>'P&amp;L, company'!D10</f>
        <v>-403582</v>
      </c>
      <c r="E100" s="8">
        <f>'P&amp;L, company'!E10</f>
        <v>-422121</v>
      </c>
      <c r="F100" s="8">
        <f>'P&amp;L, company'!F10</f>
        <v>-420311</v>
      </c>
      <c r="G100" s="8">
        <f>'P&amp;L, company'!G10</f>
        <v>-420183</v>
      </c>
      <c r="H100" s="8">
        <f>'P&amp;L, company'!H10</f>
        <v>-439279</v>
      </c>
      <c r="I100" s="8">
        <f>'P&amp;L, company'!I10</f>
        <v>-419308</v>
      </c>
      <c r="J100" s="8">
        <f>'P&amp;L, company'!J10</f>
        <v>-449712.6026666667</v>
      </c>
      <c r="K100" s="8">
        <f>'P&amp;L, company'!K10</f>
        <v>-450929.7982826667</v>
      </c>
      <c r="L100" s="8">
        <f>'P&amp;L, company'!L10</f>
        <v>-452154.2970723627</v>
      </c>
      <c r="M100" s="8">
        <f>'P&amp;L, company'!M10</f>
        <v>-453386.1428547968</v>
      </c>
    </row>
    <row r="119">
      <c r="A119" s="1" t="inlineStr">
        <is>
          <t xml:space="preserve">Revenue by entity</t>
        </is>
      </c>
    </row>
    <row r="120">
      <c r="A120" s="1" t="inlineStr">
        <is>
          <t xml:space="preserve">subsidiary</t>
        </is>
      </c>
      <c r="B120" s="1" t="inlineStr">
        <is>
          <t xml:space="preserve">Jan-26</t>
        </is>
      </c>
      <c r="C120" s="1" t="inlineStr">
        <is>
          <t xml:space="preserve">Feb-26</t>
        </is>
      </c>
      <c r="D120" s="1" t="inlineStr">
        <is>
          <t xml:space="preserve">Mar-26</t>
        </is>
      </c>
      <c r="E120" s="1" t="inlineStr">
        <is>
          <t xml:space="preserve">Apr-26</t>
        </is>
      </c>
      <c r="F120" s="1" t="inlineStr">
        <is>
          <t xml:space="preserve">May-26</t>
        </is>
      </c>
      <c r="G120" s="1" t="inlineStr">
        <is>
          <t xml:space="preserve">Jun-26</t>
        </is>
      </c>
      <c r="H120" s="1" t="inlineStr">
        <is>
          <t xml:space="preserve">Jul-26</t>
        </is>
      </c>
      <c r="I120" s="1" t="inlineStr">
        <is>
          <t xml:space="preserve">Aug-26</t>
        </is>
      </c>
      <c r="J120" s="1" t="inlineStr">
        <is>
          <t xml:space="preserve">Sep-26</t>
        </is>
      </c>
      <c r="K120" s="1" t="inlineStr">
        <is>
          <t xml:space="preserve">Oct-26</t>
        </is>
      </c>
      <c r="L120" s="1" t="inlineStr">
        <is>
          <t xml:space="preserve">Nov-26</t>
        </is>
      </c>
      <c r="M120" s="1" t="inlineStr">
        <is>
          <t xml:space="preserve">Dec-26</t>
        </is>
      </c>
    </row>
    <row r="121">
      <c r="A121" s="0" t="inlineStr">
        <is>
          <t xml:space="preserve">United States</t>
        </is>
      </c>
      <c r="B121" s="8">
        <f>'P&amp;L by entity'!C2</f>
        <v>4131437</v>
      </c>
      <c r="C121" s="8">
        <f>'P&amp;L by entity'!D2</f>
        <v>4250476</v>
      </c>
      <c r="D121" s="8">
        <f>'P&amp;L by entity'!E2</f>
        <v>4370513</v>
      </c>
      <c r="E121" s="8">
        <f>'P&amp;L by entity'!F2</f>
        <v>4448928</v>
      </c>
      <c r="F121" s="8">
        <f>'P&amp;L by entity'!G2</f>
        <v>4429226</v>
      </c>
      <c r="G121" s="8">
        <f>'P&amp;L by entity'!H2</f>
        <v>4725798</v>
      </c>
      <c r="H121" s="8">
        <f>'P&amp;L by entity'!I2</f>
        <v>4406956</v>
      </c>
      <c r="I121" s="8">
        <f>'P&amp;L by entity'!J2</f>
        <v>4544037</v>
      </c>
      <c r="J121" s="8">
        <f>'P&amp;L by entity'!K2</f>
        <v>4630373.703</v>
      </c>
      <c r="K121" s="8">
        <f>'P&amp;L by entity'!L2</f>
        <v>4718350.8033569995</v>
      </c>
      <c r="L121" s="8">
        <f>'P&amp;L by entity'!M2</f>
        <v>4807999.468620782</v>
      </c>
      <c r="M121" s="8">
        <f>'P&amp;L by entity'!N2</f>
        <v>4899351.458524576</v>
      </c>
    </row>
    <row r="122">
      <c r="A122" s="0" t="inlineStr">
        <is>
          <t xml:space="preserve">United Kingdom</t>
        </is>
      </c>
      <c r="B122" s="8">
        <f>'P&amp;L by entity'!C3</f>
        <v>1673940</v>
      </c>
      <c r="C122" s="8">
        <f>'P&amp;L by entity'!D3</f>
        <v>1721315</v>
      </c>
      <c r="D122" s="8">
        <f>'P&amp;L by entity'!E3</f>
        <v>1792887</v>
      </c>
      <c r="E122" s="8">
        <f>'P&amp;L by entity'!F3</f>
        <v>1859611</v>
      </c>
      <c r="F122" s="8">
        <f>'P&amp;L by entity'!G3</f>
        <v>1874770</v>
      </c>
      <c r="G122" s="8">
        <f>'P&amp;L by entity'!H3</f>
        <v>1971962</v>
      </c>
      <c r="H122" s="8">
        <f>'P&amp;L by entity'!I3</f>
        <v>1948393</v>
      </c>
      <c r="I122" s="8">
        <f>'P&amp;L by entity'!J3</f>
        <v>1943549</v>
      </c>
      <c r="J122" s="8">
        <f>'P&amp;L by entity'!K3</f>
        <v>1980476.4309999999</v>
      </c>
      <c r="K122" s="8">
        <f>'P&amp;L by entity'!L3</f>
        <v>2018105.4831889996</v>
      </c>
      <c r="L122" s="8">
        <f>'P&amp;L by entity'!M3</f>
        <v>2056449.4873695904</v>
      </c>
      <c r="M122" s="8">
        <f>'P&amp;L by entity'!N3</f>
        <v>2095522.0276296125</v>
      </c>
    </row>
    <row r="141">
      <c r="A141" s="3" t="inlineStr">
        <is>
          <t xml:space="preserve">Every cell on this sheet refers to the statement sheets; edit inputs there (blue) and this dashboard follows.</t>
        </is>
      </c>
    </row>
  </sheetData>
  <drawing r:id="rId1"/>
</worksheet>
</file>

<file path=xl/worksheets/sheet2.xml><?xml version="1.0" encoding="utf-8"?>
<worksheet xmlns="http://schemas.openxmlformats.org/spreadsheetml/2006/main" xmlns:r="http://schemas.openxmlformats.org/officeDocument/2006/relationships">
  <cols>
    <col min="1" max="1" width="34" customWidth="1"/>
    <col min="2" max="2" width="18"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s>
  <sheetData>
    <row r="1">
      <c r="A1" s="1" t="inlineStr">
        <is>
          <t xml:space="preserve">Department spend: year to date and full year, outlook vs budget</t>
        </is>
      </c>
    </row>
    <row r="2">
      <c r="A2" s="1" t="inlineStr">
        <is>
          <t xml:space="preserve">subsidiary</t>
        </is>
      </c>
      <c r="B2" s="1" t="inlineStr">
        <is>
          <t xml:space="preserve">department</t>
        </is>
      </c>
      <c r="C2" s="1" t="inlineStr">
        <is>
          <t xml:space="preserve">YTD actual</t>
        </is>
      </c>
      <c r="D2" s="1" t="inlineStr">
        <is>
          <t xml:space="preserve">YTD budget</t>
        </is>
      </c>
      <c r="E2" s="1" t="inlineStr">
        <is>
          <t xml:space="preserve">YTD variance</t>
        </is>
      </c>
      <c r="F2" s="1" t="inlineStr">
        <is>
          <t xml:space="preserve">FY outlook</t>
        </is>
      </c>
      <c r="G2" s="1" t="inlineStr">
        <is>
          <t xml:space="preserve">FY budget</t>
        </is>
      </c>
      <c r="H2" s="1" t="inlineStr">
        <is>
          <t xml:space="preserve">FY variance</t>
        </is>
      </c>
      <c r="I2" s="1" t="inlineStr">
        <is>
          <t xml:space="preserve">FY variance %</t>
        </is>
      </c>
    </row>
    <row r="3">
      <c r="A3" s="0" t="inlineStr">
        <is>
          <t xml:space="preserve">United States</t>
        </is>
      </c>
      <c r="B3" s="0" t="inlineStr">
        <is>
          <t xml:space="preserve">Sales</t>
        </is>
      </c>
      <c r="C3" s="8">
        <f>'Year to date and full year, by '!D159</f>
        <v>-5295380</v>
      </c>
      <c r="D3" s="8">
        <f>'Year to date and full year, by '!E159</f>
        <v>-5295300</v>
      </c>
      <c r="E3" s="8">
        <f>'Year to date and full year, by '!F159</f>
        <v>-80</v>
      </c>
      <c r="F3" s="8">
        <f>'Year to date and full year, by '!G159</f>
        <v>-8387819.131118918</v>
      </c>
      <c r="G3" s="8">
        <f>'Year to date and full year, by '!H159</f>
        <v>-8444400</v>
      </c>
      <c r="H3" s="8">
        <f>'Year to date and full year, by '!I159</f>
        <v>56580.86888108216</v>
      </c>
      <c r="I3" s="12">
        <f>'Year to date and full year, by '!J159</f>
        <v>0.0067004013169771875</v>
      </c>
    </row>
    <row r="4">
      <c r="A4" s="0"/>
      <c r="B4" s="0" t="inlineStr">
        <is>
          <t xml:space="preserve">Marketing</t>
        </is>
      </c>
      <c r="C4" s="8">
        <f>'Year to date and full year, by '!D160</f>
        <v>-4228473</v>
      </c>
      <c r="D4" s="8">
        <f>'Year to date and full year, by '!E160</f>
        <v>-4219400</v>
      </c>
      <c r="E4" s="8">
        <f>'Year to date and full year, by '!F160</f>
        <v>-9073</v>
      </c>
      <c r="F4" s="8">
        <f>'Year to date and full year, by '!G160</f>
        <v>-6577552.515983559</v>
      </c>
      <c r="G4" s="8">
        <f>'Year to date and full year, by '!H160</f>
        <v>-6693000</v>
      </c>
      <c r="H4" s="8">
        <f>'Year to date and full year, by '!I160</f>
        <v>115447.48401644081</v>
      </c>
      <c r="I4" s="12">
        <f>'Year to date and full year, by '!J160</f>
        <v>0.017248989095538743</v>
      </c>
    </row>
    <row r="5">
      <c r="A5" s="0"/>
      <c r="B5" s="0" t="inlineStr">
        <is>
          <t xml:space="preserve">Engineering</t>
        </is>
      </c>
      <c r="C5" s="8">
        <f>'Year to date and full year, by '!D161</f>
        <v>-10444615</v>
      </c>
      <c r="D5" s="8">
        <f>'Year to date and full year, by '!E161</f>
        <v>-10173900</v>
      </c>
      <c r="E5" s="8">
        <f>'Year to date and full year, by '!F161</f>
        <v>-270715</v>
      </c>
      <c r="F5" s="8">
        <f>'Year to date and full year, by '!G161</f>
        <v>-16601304.761726215</v>
      </c>
      <c r="G5" s="8">
        <f>'Year to date and full year, by '!H161</f>
        <v>-16214600</v>
      </c>
      <c r="H5" s="8">
        <f>'Year to date and full year, by '!I161</f>
        <v>-386704.7617262155</v>
      </c>
      <c r="I5" s="12">
        <f>'Year to date and full year, by '!J161</f>
        <v>-0.023849170607120464</v>
      </c>
    </row>
    <row r="6">
      <c r="A6" s="0"/>
      <c r="B6" s="0" t="inlineStr">
        <is>
          <t xml:space="preserve">Customer success</t>
        </is>
      </c>
      <c r="C6" s="8">
        <f>'Year to date and full year, by '!D162</f>
        <v>-1305948</v>
      </c>
      <c r="D6" s="8">
        <f>'Year to date and full year, by '!E162</f>
        <v>-1286900</v>
      </c>
      <c r="E6" s="8">
        <f>'Year to date and full year, by '!F162</f>
        <v>-19048</v>
      </c>
      <c r="F6" s="8">
        <f>'Year to date and full year, by '!G162</f>
        <v>-2050949.8654552973</v>
      </c>
      <c r="G6" s="8">
        <f>'Year to date and full year, by '!H162</f>
        <v>-2031500</v>
      </c>
      <c r="H6" s="8">
        <f>'Year to date and full year, by '!I162</f>
        <v>-19449.865455297288</v>
      </c>
      <c r="I6" s="12">
        <f>'Year to date and full year, by '!J162</f>
        <v>-0.009574140022297459</v>
      </c>
    </row>
    <row r="7">
      <c r="A7" s="0"/>
      <c r="B7" s="0" t="inlineStr">
        <is>
          <t xml:space="preserve">G&amp;A</t>
        </is>
      </c>
      <c r="C7" s="8">
        <f>'Year to date and full year, by '!D163</f>
        <v>-2423375</v>
      </c>
      <c r="D7" s="8">
        <f>'Year to date and full year, by '!E163</f>
        <v>-2413200</v>
      </c>
      <c r="E7" s="8">
        <f>'Year to date and full year, by '!F163</f>
        <v>-10175</v>
      </c>
      <c r="F7" s="8">
        <f>'Year to date and full year, by '!G163</f>
        <v>-3747097.021017457</v>
      </c>
      <c r="G7" s="8">
        <f>'Year to date and full year, by '!H163</f>
        <v>-3716700</v>
      </c>
      <c r="H7" s="8">
        <f>'Year to date and full year, by '!I163</f>
        <v>-30397.021017456893</v>
      </c>
      <c r="I7" s="12">
        <f>'Year to date and full year, by '!J163</f>
        <v>-0.008178497327590845</v>
      </c>
    </row>
    <row r="8">
      <c r="A8" s="0" t="inlineStr">
        <is>
          <t xml:space="preserve">United Kingdom</t>
        </is>
      </c>
      <c r="B8" s="0" t="inlineStr">
        <is>
          <t xml:space="preserve">Sales</t>
        </is>
      </c>
      <c r="C8" s="8">
        <f>'Year to date and full year, by '!D165</f>
        <v>-1881564</v>
      </c>
      <c r="D8" s="8">
        <f>'Year to date and full year, by '!E165</f>
        <v>-1943300</v>
      </c>
      <c r="E8" s="8">
        <f>'Year to date and full year, by '!F165</f>
        <v>61736</v>
      </c>
      <c r="F8" s="8">
        <f>'Year to date and full year, by '!G165</f>
        <v>-3032821.287217602</v>
      </c>
      <c r="G8" s="8">
        <f>'Year to date and full year, by '!H165</f>
        <v>-3106100</v>
      </c>
      <c r="H8" s="8">
        <f>'Year to date and full year, by '!I165</f>
        <v>73278.71278239787</v>
      </c>
      <c r="I8" s="12">
        <f>'Year to date and full year, by '!J165</f>
        <v>0.02359187173059395</v>
      </c>
    </row>
    <row r="9">
      <c r="A9" s="0"/>
      <c r="B9" s="0" t="inlineStr">
        <is>
          <t xml:space="preserve">Marketing</t>
        </is>
      </c>
      <c r="C9" s="8">
        <f>'Year to date and full year, by '!D166</f>
        <v>-1817570</v>
      </c>
      <c r="D9" s="8">
        <f>'Year to date and full year, by '!E166</f>
        <v>-1777900</v>
      </c>
      <c r="E9" s="8">
        <f>'Year to date and full year, by '!F166</f>
        <v>-39670</v>
      </c>
      <c r="F9" s="8">
        <f>'Year to date and full year, by '!G166</f>
        <v>-2829456.5861148094</v>
      </c>
      <c r="G9" s="8">
        <f>'Year to date and full year, by '!H166</f>
        <v>-2826100</v>
      </c>
      <c r="H9" s="8">
        <f>'Year to date and full year, by '!I166</f>
        <v>-3356.5861148093827</v>
      </c>
      <c r="I9" s="12">
        <f>'Year to date and full year, by '!J166</f>
        <v>-0.001187709605042066</v>
      </c>
    </row>
    <row r="10">
      <c r="A10" s="0"/>
      <c r="B10" s="0" t="inlineStr">
        <is>
          <t xml:space="preserve">Engineering</t>
        </is>
      </c>
      <c r="C10" s="8">
        <f>'Year to date and full year, by '!D167</f>
        <v>-4106001</v>
      </c>
      <c r="D10" s="8">
        <f>'Year to date and full year, by '!E167</f>
        <v>-4022300</v>
      </c>
      <c r="E10" s="8">
        <f>'Year to date and full year, by '!F167</f>
        <v>-83701</v>
      </c>
      <c r="F10" s="8">
        <f>'Year to date and full year, by '!G167</f>
        <v>-6641382.274348854</v>
      </c>
      <c r="G10" s="8">
        <f>'Year to date and full year, by '!H167</f>
        <v>-6498500</v>
      </c>
      <c r="H10" s="8">
        <f>'Year to date and full year, by '!I167</f>
        <v>-142882.2743488541</v>
      </c>
      <c r="I10" s="12">
        <f>'Year to date and full year, by '!J167</f>
        <v>-0.02198696227573349</v>
      </c>
    </row>
    <row r="11">
      <c r="A11" s="0"/>
      <c r="B11" s="0" t="inlineStr">
        <is>
          <t xml:space="preserve">Customer success</t>
        </is>
      </c>
      <c r="C11" s="8">
        <f>'Year to date and full year, by '!D168</f>
        <v>-459983</v>
      </c>
      <c r="D11" s="8">
        <f>'Year to date and full year, by '!E168</f>
        <v>-452700</v>
      </c>
      <c r="E11" s="8">
        <f>'Year to date and full year, by '!F168</f>
        <v>-7283</v>
      </c>
      <c r="F11" s="8">
        <f>'Year to date and full year, by '!G168</f>
        <v>-708037.6827988871</v>
      </c>
      <c r="G11" s="8">
        <f>'Year to date and full year, by '!H168</f>
        <v>-698200</v>
      </c>
      <c r="H11" s="8">
        <f>'Year to date and full year, by '!I168</f>
        <v>-9837.682798887137</v>
      </c>
      <c r="I11" s="12">
        <f>'Year to date and full year, by '!J168</f>
        <v>-0.0140900641634018</v>
      </c>
    </row>
    <row r="12">
      <c r="A12" s="0"/>
      <c r="B12" s="0" t="inlineStr">
        <is>
          <t xml:space="preserve">G&amp;A</t>
        </is>
      </c>
      <c r="C12" s="8">
        <f>'Year to date and full year, by '!D169</f>
        <v>-898429</v>
      </c>
      <c r="D12" s="8">
        <f>'Year to date and full year, by '!E169</f>
        <v>-885100</v>
      </c>
      <c r="E12" s="8">
        <f>'Year to date and full year, by '!F169</f>
        <v>-13329</v>
      </c>
      <c r="F12" s="8">
        <f>'Year to date and full year, by '!G169</f>
        <v>-1380889.819859036</v>
      </c>
      <c r="G12" s="8">
        <f>'Year to date and full year, by '!H169</f>
        <v>-1384800</v>
      </c>
      <c r="H12" s="8">
        <f>'Year to date and full year, by '!I169</f>
        <v>3910.1801409639884</v>
      </c>
      <c r="I12" s="12">
        <f>'Year to date and full year, by '!J169</f>
        <v>0.0028236425050288767</v>
      </c>
    </row>
    <row r="14">
      <c r="A14" s="1" t="inlineStr">
        <is>
          <t xml:space="preserve">US departments by account: outlook vs budget</t>
        </is>
      </c>
    </row>
    <row r="15">
      <c r="A15" s="1" t="inlineStr">
        <is>
          <t xml:space="preserve">department</t>
        </is>
      </c>
      <c r="B15" s="1" t="inlineStr">
        <is>
          <t xml:space="preserve">line</t>
        </is>
      </c>
      <c r="C15" s="1" t="inlineStr">
        <is>
          <t xml:space="preserve">YTD actual</t>
        </is>
      </c>
      <c r="D15" s="1" t="inlineStr">
        <is>
          <t xml:space="preserve">YTD budget</t>
        </is>
      </c>
      <c r="E15" s="1" t="inlineStr">
        <is>
          <t xml:space="preserve">YTD variance</t>
        </is>
      </c>
      <c r="F15" s="1" t="inlineStr">
        <is>
          <t xml:space="preserve">FY outlook</t>
        </is>
      </c>
      <c r="G15" s="1" t="inlineStr">
        <is>
          <t xml:space="preserve">FY budget</t>
        </is>
      </c>
      <c r="H15" s="1" t="inlineStr">
        <is>
          <t xml:space="preserve">FY variance</t>
        </is>
      </c>
      <c r="I15" s="1" t="inlineStr">
        <is>
          <t xml:space="preserve">FY variance %</t>
        </is>
      </c>
    </row>
    <row r="16">
      <c r="A16" s="0" t="inlineStr">
        <is>
          <t xml:space="preserve">Sales</t>
        </is>
      </c>
      <c r="B16" s="0" t="inlineStr">
        <is>
          <t xml:space="preserve">Revenue</t>
        </is>
      </c>
      <c r="C16" s="4">
        <f>'Year to date and full year, by '!D3</f>
        <v>0</v>
      </c>
      <c r="D16" s="4">
        <f>'Year to date and full year, by '!E3</f>
        <v>0</v>
      </c>
      <c r="E16" s="4">
        <f>'Year to date and full year, by '!F3</f>
        <v>0</v>
      </c>
      <c r="F16" s="4">
        <f>'Year to date and full year, by '!G3</f>
        <v>0</v>
      </c>
      <c r="G16" s="4">
        <f>'Year to date and full year, by '!H3</f>
        <v>0</v>
      </c>
      <c r="H16" s="4">
        <f>'Year to date and full year, by '!I3</f>
        <v>0</v>
      </c>
      <c r="I16" s="12">
        <f>'Year to date and full year, by '!J3</f>
      </c>
    </row>
    <row r="17">
      <c r="A17" s="0"/>
      <c r="B17" s="0" t="inlineStr">
        <is>
          <t xml:space="preserve">Cost of revenue: hosting</t>
        </is>
      </c>
      <c r="C17" s="4">
        <f>'Year to date and full year, by '!D15</f>
        <v>0</v>
      </c>
      <c r="D17" s="4">
        <f>'Year to date and full year, by '!E15</f>
        <v>0</v>
      </c>
      <c r="E17" s="4">
        <f>'Year to date and full year, by '!F15</f>
        <v>0</v>
      </c>
      <c r="F17" s="4">
        <f>'Year to date and full year, by '!G15</f>
        <v>0</v>
      </c>
      <c r="G17" s="4">
        <f>'Year to date and full year, by '!H15</f>
        <v>0</v>
      </c>
      <c r="H17" s="4">
        <f>'Year to date and full year, by '!I15</f>
        <v>0</v>
      </c>
      <c r="I17" s="12">
        <f>'Year to date and full year, by '!J15</f>
      </c>
    </row>
    <row r="18">
      <c r="A18" s="0"/>
      <c r="B18" s="0" t="inlineStr">
        <is>
          <t xml:space="preserve">Cost of revenue: support</t>
        </is>
      </c>
      <c r="C18" s="4">
        <f>'Year to date and full year, by '!D27</f>
        <v>0</v>
      </c>
      <c r="D18" s="4">
        <f>'Year to date and full year, by '!E27</f>
        <v>0</v>
      </c>
      <c r="E18" s="4">
        <f>'Year to date and full year, by '!F27</f>
        <v>0</v>
      </c>
      <c r="F18" s="4">
        <f>'Year to date and full year, by '!G27</f>
        <v>0</v>
      </c>
      <c r="G18" s="4">
        <f>'Year to date and full year, by '!H27</f>
        <v>0</v>
      </c>
      <c r="H18" s="4">
        <f>'Year to date and full year, by '!I27</f>
        <v>0</v>
      </c>
      <c r="I18" s="12">
        <f>'Year to date and full year, by '!J27</f>
      </c>
    </row>
    <row r="19">
      <c r="A19" s="0"/>
      <c r="B19" s="0" t="inlineStr">
        <is>
          <t xml:space="preserve">Salaries</t>
        </is>
      </c>
      <c r="C19" s="4">
        <f>'Year to date and full year, by '!D39</f>
        <v>-2709304</v>
      </c>
      <c r="D19" s="4">
        <f>'Year to date and full year, by '!E39</f>
        <v>-2722500</v>
      </c>
      <c r="E19" s="4">
        <f>'Year to date and full year, by '!F39</f>
        <v>13196</v>
      </c>
      <c r="F19" s="4">
        <f>'Year to date and full year, by '!G39</f>
        <v>-4359304</v>
      </c>
      <c r="G19" s="4">
        <f>'Year to date and full year, by '!H39</f>
        <v>-4372500</v>
      </c>
      <c r="H19" s="4">
        <f>'Year to date and full year, by '!I39</f>
        <v>13196</v>
      </c>
      <c r="I19" s="12">
        <f>'Year to date and full year, by '!J39</f>
        <v>0.0030179531160663235</v>
      </c>
    </row>
    <row r="20">
      <c r="A20" s="0"/>
      <c r="B20" s="0" t="inlineStr">
        <is>
          <t xml:space="preserve">Benefits and payroll taxes</t>
        </is>
      </c>
      <c r="C20" s="4">
        <f>'Year to date and full year, by '!D51</f>
        <v>-553831</v>
      </c>
      <c r="D20" s="4">
        <f>'Year to date and full year, by '!E51</f>
        <v>-571800</v>
      </c>
      <c r="E20" s="4">
        <f>'Year to date and full year, by '!F51</f>
        <v>17969</v>
      </c>
      <c r="F20" s="4">
        <f>'Year to date and full year, by '!G51</f>
        <v>-906931</v>
      </c>
      <c r="G20" s="4">
        <f>'Year to date and full year, by '!H51</f>
        <v>-918200</v>
      </c>
      <c r="H20" s="4">
        <f>'Year to date and full year, by '!I51</f>
        <v>11269</v>
      </c>
      <c r="I20" s="12">
        <f>'Year to date and full year, by '!J51</f>
        <v>0.012272925288608147</v>
      </c>
    </row>
    <row r="21">
      <c r="A21" s="0"/>
      <c r="B21" s="0" t="inlineStr">
        <is>
          <t xml:space="preserve">Commissions</t>
        </is>
      </c>
      <c r="C21" s="8">
        <f>'Year to date and full year, by '!D63</f>
        <v>-1644744</v>
      </c>
      <c r="D21" s="8">
        <f>'Year to date and full year, by '!E63</f>
        <v>-1619600</v>
      </c>
      <c r="E21" s="8">
        <f>'Year to date and full year, by '!F63</f>
        <v>-25144</v>
      </c>
      <c r="F21" s="8">
        <f>'Year to date and full year, by '!G63</f>
        <v>-2540379.5453746105</v>
      </c>
      <c r="G21" s="8">
        <f>'Year to date and full year, by '!H63</f>
        <v>-2577100</v>
      </c>
      <c r="H21" s="8">
        <f>'Year to date and full year, by '!I63</f>
        <v>36720.45462538954</v>
      </c>
      <c r="I21" s="12">
        <f>'Year to date and full year, by '!J63</f>
        <v>0.014248750388184215</v>
      </c>
    </row>
    <row r="22">
      <c r="A22" s="0"/>
      <c r="B22" s="0" t="inlineStr">
        <is>
          <t xml:space="preserve">Contractors</t>
        </is>
      </c>
      <c r="C22" s="4">
        <f>'Year to date and full year, by '!D75</f>
        <v>0</v>
      </c>
      <c r="D22" s="4">
        <f>'Year to date and full year, by '!E75</f>
        <v>0</v>
      </c>
      <c r="E22" s="4">
        <f>'Year to date and full year, by '!F75</f>
        <v>0</v>
      </c>
      <c r="F22" s="4">
        <f>'Year to date and full year, by '!G75</f>
        <v>0</v>
      </c>
      <c r="G22" s="4">
        <f>'Year to date and full year, by '!H75</f>
        <v>0</v>
      </c>
      <c r="H22" s="4">
        <f>'Year to date and full year, by '!I75</f>
        <v>0</v>
      </c>
      <c r="I22" s="12">
        <f>'Year to date and full year, by '!J75</f>
      </c>
    </row>
    <row r="23">
      <c r="A23" s="0"/>
      <c r="B23" s="0" t="inlineStr">
        <is>
          <t xml:space="preserve">Cloud and infrastructure</t>
        </is>
      </c>
      <c r="C23" s="4">
        <f>'Year to date and full year, by '!D87</f>
        <v>0</v>
      </c>
      <c r="D23" s="4">
        <f>'Year to date and full year, by '!E87</f>
        <v>0</v>
      </c>
      <c r="E23" s="4">
        <f>'Year to date and full year, by '!F87</f>
        <v>0</v>
      </c>
      <c r="F23" s="4">
        <f>'Year to date and full year, by '!G87</f>
        <v>0</v>
      </c>
      <c r="G23" s="4">
        <f>'Year to date and full year, by '!H87</f>
        <v>0</v>
      </c>
      <c r="H23" s="4">
        <f>'Year to date and full year, by '!I87</f>
        <v>0</v>
      </c>
      <c r="I23" s="12">
        <f>'Year to date and full year, by '!J87</f>
      </c>
    </row>
    <row r="24">
      <c r="A24" s="0"/>
      <c r="B24" s="0" t="inlineStr">
        <is>
          <t xml:space="preserve">Marketing programs</t>
        </is>
      </c>
      <c r="C24" s="4">
        <f>'Year to date and full year, by '!D99</f>
        <v>0</v>
      </c>
      <c r="D24" s="4">
        <f>'Year to date and full year, by '!E99</f>
        <v>0</v>
      </c>
      <c r="E24" s="4">
        <f>'Year to date and full year, by '!F99</f>
        <v>0</v>
      </c>
      <c r="F24" s="4">
        <f>'Year to date and full year, by '!G99</f>
        <v>0</v>
      </c>
      <c r="G24" s="4">
        <f>'Year to date and full year, by '!H99</f>
        <v>0</v>
      </c>
      <c r="H24" s="4">
        <f>'Year to date and full year, by '!I99</f>
        <v>0</v>
      </c>
      <c r="I24" s="12">
        <f>'Year to date and full year, by '!J99</f>
      </c>
    </row>
    <row r="25">
      <c r="A25" s="0"/>
      <c r="B25" s="0" t="inlineStr">
        <is>
          <t xml:space="preserve">Software and tools</t>
        </is>
      </c>
      <c r="C25" s="8">
        <f>'Year to date and full year, by '!D111</f>
        <v>-74243</v>
      </c>
      <c r="D25" s="8">
        <f>'Year to date and full year, by '!E111</f>
        <v>-73000</v>
      </c>
      <c r="E25" s="8">
        <f>'Year to date and full year, by '!F111</f>
        <v>-1243</v>
      </c>
      <c r="F25" s="8">
        <f>'Year to date and full year, by '!G111</f>
        <v>-111163.86331222452</v>
      </c>
      <c r="G25" s="8">
        <f>'Year to date and full year, by '!H111</f>
        <v>-110400</v>
      </c>
      <c r="H25" s="8">
        <f>'Year to date and full year, by '!I111</f>
        <v>-763.8633122245228</v>
      </c>
      <c r="I25" s="12">
        <f>'Year to date and full year, by '!J111</f>
        <v>-0.006919051741164156</v>
      </c>
    </row>
    <row r="26">
      <c r="A26" s="0"/>
      <c r="B26" s="0" t="inlineStr">
        <is>
          <t xml:space="preserve">Travel and events</t>
        </is>
      </c>
      <c r="C26" s="8">
        <f>'Year to date and full year, by '!D123</f>
        <v>-313258</v>
      </c>
      <c r="D26" s="8">
        <f>'Year to date and full year, by '!E123</f>
        <v>-308400</v>
      </c>
      <c r="E26" s="8">
        <f>'Year to date and full year, by '!F123</f>
        <v>-4858</v>
      </c>
      <c r="F26" s="8">
        <f>'Year to date and full year, by '!G123</f>
        <v>-470040.7224320824</v>
      </c>
      <c r="G26" s="8">
        <f>'Year to date and full year, by '!H123</f>
        <v>-466200</v>
      </c>
      <c r="H26" s="8">
        <f>'Year to date and full year, by '!I123</f>
        <v>-3840.7224320824025</v>
      </c>
      <c r="I26" s="12">
        <f>'Year to date and full year, by '!J123</f>
        <v>-0.008238357855174608</v>
      </c>
    </row>
    <row r="27">
      <c r="A27" s="0"/>
      <c r="B27" s="0" t="inlineStr">
        <is>
          <t xml:space="preserve">Rent and facilities</t>
        </is>
      </c>
      <c r="C27" s="4">
        <f>'Year to date and full year, by '!D135</f>
        <v>0</v>
      </c>
      <c r="D27" s="4">
        <f>'Year to date and full year, by '!E135</f>
        <v>0</v>
      </c>
      <c r="E27" s="4">
        <f>'Year to date and full year, by '!F135</f>
        <v>0</v>
      </c>
      <c r="F27" s="4">
        <f>'Year to date and full year, by '!G135</f>
        <v>0</v>
      </c>
      <c r="G27" s="4">
        <f>'Year to date and full year, by '!H135</f>
        <v>0</v>
      </c>
      <c r="H27" s="4">
        <f>'Year to date and full year, by '!I135</f>
        <v>0</v>
      </c>
      <c r="I27" s="12">
        <f>'Year to date and full year, by '!J135</f>
      </c>
    </row>
    <row r="28">
      <c r="A28" s="0"/>
      <c r="B28" s="0" t="inlineStr">
        <is>
          <t xml:space="preserve">Professional fees</t>
        </is>
      </c>
      <c r="C28" s="4">
        <f>'Year to date and full year, by '!D147</f>
        <v>0</v>
      </c>
      <c r="D28" s="4">
        <f>'Year to date and full year, by '!E147</f>
        <v>0</v>
      </c>
      <c r="E28" s="4">
        <f>'Year to date and full year, by '!F147</f>
        <v>0</v>
      </c>
      <c r="F28" s="4">
        <f>'Year to date and full year, by '!G147</f>
        <v>0</v>
      </c>
      <c r="G28" s="4">
        <f>'Year to date and full year, by '!H147</f>
        <v>0</v>
      </c>
      <c r="H28" s="4">
        <f>'Year to date and full year, by '!I147</f>
        <v>0</v>
      </c>
      <c r="I28" s="12">
        <f>'Year to date and full year, by '!J147</f>
      </c>
    </row>
    <row r="29">
      <c r="A29" s="0"/>
      <c r="B29" s="0" t="inlineStr">
        <is>
          <t xml:space="preserve">Net</t>
        </is>
      </c>
      <c r="C29" s="8">
        <f>'Year to date and full year, by '!D159</f>
        <v>-5295380</v>
      </c>
      <c r="D29" s="8">
        <f>'Year to date and full year, by '!E159</f>
        <v>-5295300</v>
      </c>
      <c r="E29" s="8">
        <f>'Year to date and full year, by '!F159</f>
        <v>-80</v>
      </c>
      <c r="F29" s="8">
        <f>'Year to date and full year, by '!G159</f>
        <v>-8387819.131118918</v>
      </c>
      <c r="G29" s="8">
        <f>'Year to date and full year, by '!H159</f>
        <v>-8444400</v>
      </c>
      <c r="H29" s="8">
        <f>'Year to date and full year, by '!I159</f>
        <v>56580.86888108216</v>
      </c>
      <c r="I29" s="12">
        <f>'Year to date and full year, by '!J159</f>
        <v>0.0067004013169771875</v>
      </c>
    </row>
    <row r="30">
      <c r="A30" s="0" t="inlineStr">
        <is>
          <t xml:space="preserve">Marketing</t>
        </is>
      </c>
      <c r="B30" s="0" t="inlineStr">
        <is>
          <t xml:space="preserve">Revenue</t>
        </is>
      </c>
      <c r="C30" s="4">
        <f>'Year to date and full year, by '!D4</f>
        <v>0</v>
      </c>
      <c r="D30" s="4">
        <f>'Year to date and full year, by '!E4</f>
        <v>0</v>
      </c>
      <c r="E30" s="4">
        <f>'Year to date and full year, by '!F4</f>
        <v>0</v>
      </c>
      <c r="F30" s="4">
        <f>'Year to date and full year, by '!G4</f>
        <v>0</v>
      </c>
      <c r="G30" s="4">
        <f>'Year to date and full year, by '!H4</f>
        <v>0</v>
      </c>
      <c r="H30" s="4">
        <f>'Year to date and full year, by '!I4</f>
        <v>0</v>
      </c>
      <c r="I30" s="12">
        <f>'Year to date and full year, by '!J4</f>
      </c>
    </row>
    <row r="31">
      <c r="A31" s="0"/>
      <c r="B31" s="0" t="inlineStr">
        <is>
          <t xml:space="preserve">Cost of revenue: hosting</t>
        </is>
      </c>
      <c r="C31" s="4">
        <f>'Year to date and full year, by '!D16</f>
        <v>0</v>
      </c>
      <c r="D31" s="4">
        <f>'Year to date and full year, by '!E16</f>
        <v>0</v>
      </c>
      <c r="E31" s="4">
        <f>'Year to date and full year, by '!F16</f>
        <v>0</v>
      </c>
      <c r="F31" s="4">
        <f>'Year to date and full year, by '!G16</f>
        <v>0</v>
      </c>
      <c r="G31" s="4">
        <f>'Year to date and full year, by '!H16</f>
        <v>0</v>
      </c>
      <c r="H31" s="4">
        <f>'Year to date and full year, by '!I16</f>
        <v>0</v>
      </c>
      <c r="I31" s="12">
        <f>'Year to date and full year, by '!J16</f>
      </c>
    </row>
    <row r="32">
      <c r="A32" s="0"/>
      <c r="B32" s="0" t="inlineStr">
        <is>
          <t xml:space="preserve">Cost of revenue: support</t>
        </is>
      </c>
      <c r="C32" s="4">
        <f>'Year to date and full year, by '!D28</f>
        <v>0</v>
      </c>
      <c r="D32" s="4">
        <f>'Year to date and full year, by '!E28</f>
        <v>0</v>
      </c>
      <c r="E32" s="4">
        <f>'Year to date and full year, by '!F28</f>
        <v>0</v>
      </c>
      <c r="F32" s="4">
        <f>'Year to date and full year, by '!G28</f>
        <v>0</v>
      </c>
      <c r="G32" s="4">
        <f>'Year to date and full year, by '!H28</f>
        <v>0</v>
      </c>
      <c r="H32" s="4">
        <f>'Year to date and full year, by '!I28</f>
        <v>0</v>
      </c>
      <c r="I32" s="12">
        <f>'Year to date and full year, by '!J28</f>
      </c>
    </row>
    <row r="33">
      <c r="A33" s="0"/>
      <c r="B33" s="0" t="inlineStr">
        <is>
          <t xml:space="preserve">Salaries</t>
        </is>
      </c>
      <c r="C33" s="8">
        <f>'Year to date and full year, by '!D40</f>
        <v>-905854</v>
      </c>
      <c r="D33" s="8">
        <f>'Year to date and full year, by '!E40</f>
        <v>-933400</v>
      </c>
      <c r="E33" s="8">
        <f>'Year to date and full year, by '!F40</f>
        <v>27546</v>
      </c>
      <c r="F33" s="8">
        <f>'Year to date and full year, by '!G40</f>
        <v>-1454187.3333333335</v>
      </c>
      <c r="G33" s="8">
        <f>'Year to date and full year, by '!H40</f>
        <v>-1481700</v>
      </c>
      <c r="H33" s="8">
        <f>'Year to date and full year, by '!I40</f>
        <v>27512.66666666651</v>
      </c>
      <c r="I33" s="12">
        <f>'Year to date and full year, by '!J40</f>
        <v>0.018568311174101716</v>
      </c>
    </row>
    <row r="34">
      <c r="A34" s="0"/>
      <c r="B34" s="0" t="inlineStr">
        <is>
          <t xml:space="preserve">Benefits and payroll taxes</t>
        </is>
      </c>
      <c r="C34" s="8">
        <f>'Year to date and full year, by '!D52</f>
        <v>-201537</v>
      </c>
      <c r="D34" s="8">
        <f>'Year to date and full year, by '!E52</f>
        <v>-195800</v>
      </c>
      <c r="E34" s="8">
        <f>'Year to date and full year, by '!F52</f>
        <v>-5737</v>
      </c>
      <c r="F34" s="8">
        <f>'Year to date and full year, by '!G52</f>
        <v>-318880.3333333334</v>
      </c>
      <c r="G34" s="8">
        <f>'Year to date and full year, by '!H52</f>
        <v>-310900</v>
      </c>
      <c r="H34" s="8">
        <f>'Year to date and full year, by '!I52</f>
        <v>-7980.333333333372</v>
      </c>
      <c r="I34" s="12">
        <f>'Year to date and full year, by '!J52</f>
        <v>-0.025668489332046872</v>
      </c>
    </row>
    <row r="35">
      <c r="A35" s="0"/>
      <c r="B35" s="0" t="inlineStr">
        <is>
          <t xml:space="preserve">Commissions</t>
        </is>
      </c>
      <c r="C35" s="4">
        <f>'Year to date and full year, by '!D64</f>
        <v>0</v>
      </c>
      <c r="D35" s="4">
        <f>'Year to date and full year, by '!E64</f>
        <v>0</v>
      </c>
      <c r="E35" s="4">
        <f>'Year to date and full year, by '!F64</f>
        <v>0</v>
      </c>
      <c r="F35" s="4">
        <f>'Year to date and full year, by '!G64</f>
        <v>0</v>
      </c>
      <c r="G35" s="4">
        <f>'Year to date and full year, by '!H64</f>
        <v>0</v>
      </c>
      <c r="H35" s="4">
        <f>'Year to date and full year, by '!I64</f>
        <v>0</v>
      </c>
      <c r="I35" s="12">
        <f>'Year to date and full year, by '!J64</f>
      </c>
    </row>
    <row r="36">
      <c r="A36" s="0"/>
      <c r="B36" s="0" t="inlineStr">
        <is>
          <t xml:space="preserve">Contractors</t>
        </is>
      </c>
      <c r="C36" s="4">
        <f>'Year to date and full year, by '!D76</f>
        <v>0</v>
      </c>
      <c r="D36" s="4">
        <f>'Year to date and full year, by '!E76</f>
        <v>0</v>
      </c>
      <c r="E36" s="4">
        <f>'Year to date and full year, by '!F76</f>
        <v>0</v>
      </c>
      <c r="F36" s="4">
        <f>'Year to date and full year, by '!G76</f>
        <v>0</v>
      </c>
      <c r="G36" s="4">
        <f>'Year to date and full year, by '!H76</f>
        <v>0</v>
      </c>
      <c r="H36" s="4">
        <f>'Year to date and full year, by '!I76</f>
        <v>0</v>
      </c>
      <c r="I36" s="12">
        <f>'Year to date and full year, by '!J76</f>
      </c>
    </row>
    <row r="37">
      <c r="A37" s="0"/>
      <c r="B37" s="0" t="inlineStr">
        <is>
          <t xml:space="preserve">Cloud and infrastructure</t>
        </is>
      </c>
      <c r="C37" s="4">
        <f>'Year to date and full year, by '!D88</f>
        <v>0</v>
      </c>
      <c r="D37" s="4">
        <f>'Year to date and full year, by '!E88</f>
        <v>0</v>
      </c>
      <c r="E37" s="4">
        <f>'Year to date and full year, by '!F88</f>
        <v>0</v>
      </c>
      <c r="F37" s="4">
        <f>'Year to date and full year, by '!G88</f>
        <v>0</v>
      </c>
      <c r="G37" s="4">
        <f>'Year to date and full year, by '!H88</f>
        <v>0</v>
      </c>
      <c r="H37" s="4">
        <f>'Year to date and full year, by '!I88</f>
        <v>0</v>
      </c>
      <c r="I37" s="12">
        <f>'Year to date and full year, by '!J88</f>
      </c>
    </row>
    <row r="38">
      <c r="A38" s="0"/>
      <c r="B38" s="0" t="inlineStr">
        <is>
          <t xml:space="preserve">Marketing programs</t>
        </is>
      </c>
      <c r="C38" s="8">
        <f>'Year to date and full year, by '!D100</f>
        <v>-2912888</v>
      </c>
      <c r="D38" s="8">
        <f>'Year to date and full year, by '!E100</f>
        <v>-2879400</v>
      </c>
      <c r="E38" s="8">
        <f>'Year to date and full year, by '!F100</f>
        <v>-33488</v>
      </c>
      <c r="F38" s="8">
        <f>'Year to date and full year, by '!G100</f>
        <v>-4494542.2609806955</v>
      </c>
      <c r="G38" s="8">
        <f>'Year to date and full year, by '!H100</f>
        <v>-4581600</v>
      </c>
      <c r="H38" s="8">
        <f>'Year to date and full year, by '!I100</f>
        <v>87057.73901930451</v>
      </c>
      <c r="I38" s="12">
        <f>'Year to date and full year, by '!J100</f>
        <v>0.0190016018463647</v>
      </c>
    </row>
    <row r="39">
      <c r="A39" s="0"/>
      <c r="B39" s="0" t="inlineStr">
        <is>
          <t xml:space="preserve">Software and tools</t>
        </is>
      </c>
      <c r="C39" s="8">
        <f>'Year to date and full year, by '!D112</f>
        <v>-111750</v>
      </c>
      <c r="D39" s="8">
        <f>'Year to date and full year, by '!E112</f>
        <v>-113600</v>
      </c>
      <c r="E39" s="8">
        <f>'Year to date and full year, by '!F112</f>
        <v>1850</v>
      </c>
      <c r="F39" s="8">
        <f>'Year to date and full year, by '!G112</f>
        <v>-165764.9834644807</v>
      </c>
      <c r="G39" s="8">
        <f>'Year to date and full year, by '!H112</f>
        <v>-171800</v>
      </c>
      <c r="H39" s="8">
        <f>'Year to date and full year, by '!I112</f>
        <v>6035.016535519302</v>
      </c>
      <c r="I39" s="12">
        <f>'Year to date and full year, by '!J112</f>
        <v>0.03512815212758616</v>
      </c>
    </row>
    <row r="40">
      <c r="A40" s="0"/>
      <c r="B40" s="0" t="inlineStr">
        <is>
          <t xml:space="preserve">Travel and events</t>
        </is>
      </c>
      <c r="C40" s="8">
        <f>'Year to date and full year, by '!D124</f>
        <v>-96444</v>
      </c>
      <c r="D40" s="8">
        <f>'Year to date and full year, by '!E124</f>
        <v>-97200</v>
      </c>
      <c r="E40" s="8">
        <f>'Year to date and full year, by '!F124</f>
        <v>756</v>
      </c>
      <c r="F40" s="8">
        <f>'Year to date and full year, by '!G124</f>
        <v>-144177.60487171577</v>
      </c>
      <c r="G40" s="8">
        <f>'Year to date and full year, by '!H124</f>
        <v>-147000</v>
      </c>
      <c r="H40" s="8">
        <f>'Year to date and full year, by '!I124</f>
        <v>2822.3951282842318</v>
      </c>
      <c r="I40" s="12">
        <f>'Year to date and full year, by '!J124</f>
        <v>0.019199966859076406</v>
      </c>
    </row>
    <row r="41">
      <c r="A41" s="0"/>
      <c r="B41" s="0" t="inlineStr">
        <is>
          <t xml:space="preserve">Rent and facilities</t>
        </is>
      </c>
      <c r="C41" s="4">
        <f>'Year to date and full year, by '!D136</f>
        <v>0</v>
      </c>
      <c r="D41" s="4">
        <f>'Year to date and full year, by '!E136</f>
        <v>0</v>
      </c>
      <c r="E41" s="4">
        <f>'Year to date and full year, by '!F136</f>
        <v>0</v>
      </c>
      <c r="F41" s="4">
        <f>'Year to date and full year, by '!G136</f>
        <v>0</v>
      </c>
      <c r="G41" s="4">
        <f>'Year to date and full year, by '!H136</f>
        <v>0</v>
      </c>
      <c r="H41" s="4">
        <f>'Year to date and full year, by '!I136</f>
        <v>0</v>
      </c>
      <c r="I41" s="12">
        <f>'Year to date and full year, by '!J136</f>
      </c>
    </row>
    <row r="42">
      <c r="A42" s="0"/>
      <c r="B42" s="0" t="inlineStr">
        <is>
          <t xml:space="preserve">Professional fees</t>
        </is>
      </c>
      <c r="C42" s="4">
        <f>'Year to date and full year, by '!D148</f>
        <v>0</v>
      </c>
      <c r="D42" s="4">
        <f>'Year to date and full year, by '!E148</f>
        <v>0</v>
      </c>
      <c r="E42" s="4">
        <f>'Year to date and full year, by '!F148</f>
        <v>0</v>
      </c>
      <c r="F42" s="4">
        <f>'Year to date and full year, by '!G148</f>
        <v>0</v>
      </c>
      <c r="G42" s="4">
        <f>'Year to date and full year, by '!H148</f>
        <v>0</v>
      </c>
      <c r="H42" s="4">
        <f>'Year to date and full year, by '!I148</f>
        <v>0</v>
      </c>
      <c r="I42" s="12">
        <f>'Year to date and full year, by '!J148</f>
      </c>
    </row>
    <row r="43">
      <c r="A43" s="0"/>
      <c r="B43" s="0" t="inlineStr">
        <is>
          <t xml:space="preserve">Net</t>
        </is>
      </c>
      <c r="C43" s="8">
        <f>'Year to date and full year, by '!D160</f>
        <v>-4228473</v>
      </c>
      <c r="D43" s="8">
        <f>'Year to date and full year, by '!E160</f>
        <v>-4219400</v>
      </c>
      <c r="E43" s="8">
        <f>'Year to date and full year, by '!F160</f>
        <v>-9073</v>
      </c>
      <c r="F43" s="8">
        <f>'Year to date and full year, by '!G160</f>
        <v>-6577552.515983559</v>
      </c>
      <c r="G43" s="8">
        <f>'Year to date and full year, by '!H160</f>
        <v>-6693000</v>
      </c>
      <c r="H43" s="8">
        <f>'Year to date and full year, by '!I160</f>
        <v>115447.48401644081</v>
      </c>
      <c r="I43" s="12">
        <f>'Year to date and full year, by '!J160</f>
        <v>0.017248989095538743</v>
      </c>
    </row>
    <row r="44">
      <c r="A44" s="0" t="inlineStr">
        <is>
          <t xml:space="preserve">Engineering</t>
        </is>
      </c>
      <c r="B44" s="0" t="inlineStr">
        <is>
          <t xml:space="preserve">Revenue</t>
        </is>
      </c>
      <c r="C44" s="4">
        <f>'Year to date and full year, by '!D5</f>
        <v>0</v>
      </c>
      <c r="D44" s="4">
        <f>'Year to date and full year, by '!E5</f>
        <v>0</v>
      </c>
      <c r="E44" s="4">
        <f>'Year to date and full year, by '!F5</f>
        <v>0</v>
      </c>
      <c r="F44" s="4">
        <f>'Year to date and full year, by '!G5</f>
        <v>0</v>
      </c>
      <c r="G44" s="4">
        <f>'Year to date and full year, by '!H5</f>
        <v>0</v>
      </c>
      <c r="H44" s="4">
        <f>'Year to date and full year, by '!I5</f>
        <v>0</v>
      </c>
      <c r="I44" s="12">
        <f>'Year to date and full year, by '!J5</f>
      </c>
    </row>
    <row r="45">
      <c r="A45" s="0"/>
      <c r="B45" s="0" t="inlineStr">
        <is>
          <t xml:space="preserve">Cost of revenue: hosting</t>
        </is>
      </c>
      <c r="C45" s="4">
        <f>'Year to date and full year, by '!D17</f>
        <v>0</v>
      </c>
      <c r="D45" s="4">
        <f>'Year to date and full year, by '!E17</f>
        <v>0</v>
      </c>
      <c r="E45" s="4">
        <f>'Year to date and full year, by '!F17</f>
        <v>0</v>
      </c>
      <c r="F45" s="4">
        <f>'Year to date and full year, by '!G17</f>
        <v>0</v>
      </c>
      <c r="G45" s="4">
        <f>'Year to date and full year, by '!H17</f>
        <v>0</v>
      </c>
      <c r="H45" s="4">
        <f>'Year to date and full year, by '!I17</f>
        <v>0</v>
      </c>
      <c r="I45" s="12">
        <f>'Year to date and full year, by '!J17</f>
      </c>
    </row>
    <row r="46">
      <c r="A46" s="0"/>
      <c r="B46" s="0" t="inlineStr">
        <is>
          <t xml:space="preserve">Cost of revenue: support</t>
        </is>
      </c>
      <c r="C46" s="4">
        <f>'Year to date and full year, by '!D29</f>
        <v>0</v>
      </c>
      <c r="D46" s="4">
        <f>'Year to date and full year, by '!E29</f>
        <v>0</v>
      </c>
      <c r="E46" s="4">
        <f>'Year to date and full year, by '!F29</f>
        <v>0</v>
      </c>
      <c r="F46" s="4">
        <f>'Year to date and full year, by '!G29</f>
        <v>0</v>
      </c>
      <c r="G46" s="4">
        <f>'Year to date and full year, by '!H29</f>
        <v>0</v>
      </c>
      <c r="H46" s="4">
        <f>'Year to date and full year, by '!I29</f>
        <v>0</v>
      </c>
      <c r="I46" s="12">
        <f>'Year to date and full year, by '!J29</f>
      </c>
    </row>
    <row r="47">
      <c r="A47" s="0"/>
      <c r="B47" s="0" t="inlineStr">
        <is>
          <t xml:space="preserve">Salaries</t>
        </is>
      </c>
      <c r="C47" s="8">
        <f>'Year to date and full year, by '!D41</f>
        <v>-5402747</v>
      </c>
      <c r="D47" s="8">
        <f>'Year to date and full year, by '!E41</f>
        <v>-5620800</v>
      </c>
      <c r="E47" s="8">
        <f>'Year to date and full year, by '!F41</f>
        <v>218053</v>
      </c>
      <c r="F47" s="8">
        <f>'Year to date and full year, by '!G41</f>
        <v>-8791080.333333334</v>
      </c>
      <c r="G47" s="8">
        <f>'Year to date and full year, by '!H41</f>
        <v>-9009100</v>
      </c>
      <c r="H47" s="8">
        <f>'Year to date and full year, by '!I41</f>
        <v>218019.66666666605</v>
      </c>
      <c r="I47" s="12">
        <f>'Year to date and full year, by '!J41</f>
        <v>0.024199938580620268</v>
      </c>
    </row>
    <row r="48">
      <c r="A48" s="0"/>
      <c r="B48" s="0" t="inlineStr">
        <is>
          <t xml:space="preserve">Benefits and payroll taxes</t>
        </is>
      </c>
      <c r="C48" s="8">
        <f>'Year to date and full year, by '!D53</f>
        <v>-1183673</v>
      </c>
      <c r="D48" s="8">
        <f>'Year to date and full year, by '!E53</f>
        <v>-1180400</v>
      </c>
      <c r="E48" s="8">
        <f>'Year to date and full year, by '!F53</f>
        <v>-3273</v>
      </c>
      <c r="F48" s="8">
        <f>'Year to date and full year, by '!G53</f>
        <v>-1908776.3333333333</v>
      </c>
      <c r="G48" s="8">
        <f>'Year to date and full year, by '!H53</f>
        <v>-1892000</v>
      </c>
      <c r="H48" s="8">
        <f>'Year to date and full year, by '!I53</f>
        <v>-16776.333333333256</v>
      </c>
      <c r="I48" s="12">
        <f>'Year to date and full year, by '!J53</f>
        <v>-0.008866983791402355</v>
      </c>
    </row>
    <row r="49">
      <c r="A49" s="0"/>
      <c r="B49" s="0" t="inlineStr">
        <is>
          <t xml:space="preserve">Commissions</t>
        </is>
      </c>
      <c r="C49" s="4">
        <f>'Year to date and full year, by '!D65</f>
        <v>0</v>
      </c>
      <c r="D49" s="4">
        <f>'Year to date and full year, by '!E65</f>
        <v>0</v>
      </c>
      <c r="E49" s="4">
        <f>'Year to date and full year, by '!F65</f>
        <v>0</v>
      </c>
      <c r="F49" s="4">
        <f>'Year to date and full year, by '!G65</f>
        <v>0</v>
      </c>
      <c r="G49" s="4">
        <f>'Year to date and full year, by '!H65</f>
        <v>0</v>
      </c>
      <c r="H49" s="4">
        <f>'Year to date and full year, by '!I65</f>
        <v>0</v>
      </c>
      <c r="I49" s="12">
        <f>'Year to date and full year, by '!J65</f>
      </c>
    </row>
    <row r="50">
      <c r="A50" s="0"/>
      <c r="B50" s="0" t="inlineStr">
        <is>
          <t xml:space="preserve">Contractors</t>
        </is>
      </c>
      <c r="C50" s="8">
        <f>'Year to date and full year, by '!D77</f>
        <v>-491954</v>
      </c>
      <c r="D50" s="8">
        <f>'Year to date and full year, by '!E77</f>
        <v>-502900</v>
      </c>
      <c r="E50" s="8">
        <f>'Year to date and full year, by '!F77</f>
        <v>10946</v>
      </c>
      <c r="F50" s="8">
        <f>'Year to date and full year, by '!G77</f>
        <v>-749445.8583314671</v>
      </c>
      <c r="G50" s="8">
        <f>'Year to date and full year, by '!H77</f>
        <v>-760500</v>
      </c>
      <c r="H50" s="8">
        <f>'Year to date and full year, by '!I77</f>
        <v>11054.141668532859</v>
      </c>
      <c r="I50" s="12">
        <f>'Year to date and full year, by '!J77</f>
        <v>0.014535360510891333</v>
      </c>
    </row>
    <row r="51">
      <c r="A51" s="0"/>
      <c r="B51" s="0" t="inlineStr">
        <is>
          <t xml:space="preserve">Cloud and infrastructure</t>
        </is>
      </c>
      <c r="C51" s="8">
        <f>'Year to date and full year, by '!D89</f>
        <v>-3195620</v>
      </c>
      <c r="D51" s="8">
        <f>'Year to date and full year, by '!E89</f>
        <v>-2699400</v>
      </c>
      <c r="E51" s="8">
        <f>'Year to date and full year, by '!F89</f>
        <v>-496220</v>
      </c>
      <c r="F51" s="8">
        <f>'Year to date and full year, by '!G89</f>
        <v>-4891610.713581709</v>
      </c>
      <c r="G51" s="8">
        <f>'Year to date and full year, by '!H89</f>
        <v>-4295300</v>
      </c>
      <c r="H51" s="8">
        <f>'Year to date and full year, by '!I89</f>
        <v>-596310.7135817092</v>
      </c>
      <c r="I51" s="12">
        <f>'Year to date and full year, by '!J89</f>
        <v>-0.1388286530816728</v>
      </c>
    </row>
    <row r="52">
      <c r="A52" s="0"/>
      <c r="B52" s="0" t="inlineStr">
        <is>
          <t xml:space="preserve">Marketing programs</t>
        </is>
      </c>
      <c r="C52" s="4">
        <f>'Year to date and full year, by '!D101</f>
        <v>0</v>
      </c>
      <c r="D52" s="4">
        <f>'Year to date and full year, by '!E101</f>
        <v>0</v>
      </c>
      <c r="E52" s="4">
        <f>'Year to date and full year, by '!F101</f>
        <v>0</v>
      </c>
      <c r="F52" s="4">
        <f>'Year to date and full year, by '!G101</f>
        <v>0</v>
      </c>
      <c r="G52" s="4">
        <f>'Year to date and full year, by '!H101</f>
        <v>0</v>
      </c>
      <c r="H52" s="4">
        <f>'Year to date and full year, by '!I101</f>
        <v>0</v>
      </c>
      <c r="I52" s="12">
        <f>'Year to date and full year, by '!J101</f>
      </c>
    </row>
    <row r="53">
      <c r="A53" s="0"/>
      <c r="B53" s="0" t="inlineStr">
        <is>
          <t xml:space="preserve">Software and tools</t>
        </is>
      </c>
      <c r="C53" s="8">
        <f>'Year to date and full year, by '!D113</f>
        <v>-170621</v>
      </c>
      <c r="D53" s="8">
        <f>'Year to date and full year, by '!E113</f>
        <v>-170400</v>
      </c>
      <c r="E53" s="8">
        <f>'Year to date and full year, by '!F113</f>
        <v>-221</v>
      </c>
      <c r="F53" s="8">
        <f>'Year to date and full year, by '!G113</f>
        <v>-260391.52314637328</v>
      </c>
      <c r="G53" s="8">
        <f>'Year to date and full year, by '!H113</f>
        <v>-257700</v>
      </c>
      <c r="H53" s="8">
        <f>'Year to date and full year, by '!I113</f>
        <v>-2691.523146373278</v>
      </c>
      <c r="I53" s="12">
        <f>'Year to date and full year, by '!J113</f>
        <v>-0.010444404914137671</v>
      </c>
    </row>
    <row r="54">
      <c r="A54" s="0"/>
      <c r="B54" s="0" t="inlineStr">
        <is>
          <t xml:space="preserve">Travel and events</t>
        </is>
      </c>
      <c r="C54" s="4">
        <f>'Year to date and full year, by '!D125</f>
        <v>0</v>
      </c>
      <c r="D54" s="4">
        <f>'Year to date and full year, by '!E125</f>
        <v>0</v>
      </c>
      <c r="E54" s="4">
        <f>'Year to date and full year, by '!F125</f>
        <v>0</v>
      </c>
      <c r="F54" s="4">
        <f>'Year to date and full year, by '!G125</f>
        <v>0</v>
      </c>
      <c r="G54" s="4">
        <f>'Year to date and full year, by '!H125</f>
        <v>0</v>
      </c>
      <c r="H54" s="4">
        <f>'Year to date and full year, by '!I125</f>
        <v>0</v>
      </c>
      <c r="I54" s="12">
        <f>'Year to date and full year, by '!J125</f>
      </c>
    </row>
    <row r="55">
      <c r="A55" s="0"/>
      <c r="B55" s="0" t="inlineStr">
        <is>
          <t xml:space="preserve">Rent and facilities</t>
        </is>
      </c>
      <c r="C55" s="4">
        <f>'Year to date and full year, by '!D137</f>
        <v>0</v>
      </c>
      <c r="D55" s="4">
        <f>'Year to date and full year, by '!E137</f>
        <v>0</v>
      </c>
      <c r="E55" s="4">
        <f>'Year to date and full year, by '!F137</f>
        <v>0</v>
      </c>
      <c r="F55" s="4">
        <f>'Year to date and full year, by '!G137</f>
        <v>0</v>
      </c>
      <c r="G55" s="4">
        <f>'Year to date and full year, by '!H137</f>
        <v>0</v>
      </c>
      <c r="H55" s="4">
        <f>'Year to date and full year, by '!I137</f>
        <v>0</v>
      </c>
      <c r="I55" s="12">
        <f>'Year to date and full year, by '!J137</f>
      </c>
    </row>
    <row r="56">
      <c r="A56" s="0"/>
      <c r="B56" s="0" t="inlineStr">
        <is>
          <t xml:space="preserve">Professional fees</t>
        </is>
      </c>
      <c r="C56" s="4">
        <f>'Year to date and full year, by '!D149</f>
        <v>0</v>
      </c>
      <c r="D56" s="4">
        <f>'Year to date and full year, by '!E149</f>
        <v>0</v>
      </c>
      <c r="E56" s="4">
        <f>'Year to date and full year, by '!F149</f>
        <v>0</v>
      </c>
      <c r="F56" s="4">
        <f>'Year to date and full year, by '!G149</f>
        <v>0</v>
      </c>
      <c r="G56" s="4">
        <f>'Year to date and full year, by '!H149</f>
        <v>0</v>
      </c>
      <c r="H56" s="4">
        <f>'Year to date and full year, by '!I149</f>
        <v>0</v>
      </c>
      <c r="I56" s="12">
        <f>'Year to date and full year, by '!J149</f>
      </c>
    </row>
    <row r="57">
      <c r="A57" s="0"/>
      <c r="B57" s="0" t="inlineStr">
        <is>
          <t xml:space="preserve">Net</t>
        </is>
      </c>
      <c r="C57" s="8">
        <f>'Year to date and full year, by '!D161</f>
        <v>-10444615</v>
      </c>
      <c r="D57" s="8">
        <f>'Year to date and full year, by '!E161</f>
        <v>-10173900</v>
      </c>
      <c r="E57" s="8">
        <f>'Year to date and full year, by '!F161</f>
        <v>-270715</v>
      </c>
      <c r="F57" s="8">
        <f>'Year to date and full year, by '!G161</f>
        <v>-16601304.761726215</v>
      </c>
      <c r="G57" s="8">
        <f>'Year to date and full year, by '!H161</f>
        <v>-16214600</v>
      </c>
      <c r="H57" s="8">
        <f>'Year to date and full year, by '!I161</f>
        <v>-386704.7617262155</v>
      </c>
      <c r="I57" s="12">
        <f>'Year to date and full year, by '!J161</f>
        <v>-0.023849170607120464</v>
      </c>
    </row>
    <row r="58">
      <c r="A58" s="0" t="inlineStr">
        <is>
          <t xml:space="preserve">Customer success</t>
        </is>
      </c>
      <c r="B58" s="0" t="inlineStr">
        <is>
          <t xml:space="preserve">Revenue</t>
        </is>
      </c>
      <c r="C58" s="4">
        <f>'Year to date and full year, by '!D6</f>
        <v>0</v>
      </c>
      <c r="D58" s="4">
        <f>'Year to date and full year, by '!E6</f>
        <v>0</v>
      </c>
      <c r="E58" s="4">
        <f>'Year to date and full year, by '!F6</f>
        <v>0</v>
      </c>
      <c r="F58" s="4">
        <f>'Year to date and full year, by '!G6</f>
        <v>0</v>
      </c>
      <c r="G58" s="4">
        <f>'Year to date and full year, by '!H6</f>
        <v>0</v>
      </c>
      <c r="H58" s="4">
        <f>'Year to date and full year, by '!I6</f>
        <v>0</v>
      </c>
      <c r="I58" s="12">
        <f>'Year to date and full year, by '!J6</f>
      </c>
    </row>
    <row r="59">
      <c r="A59" s="0"/>
      <c r="B59" s="0" t="inlineStr">
        <is>
          <t xml:space="preserve">Cost of revenue: hosting</t>
        </is>
      </c>
      <c r="C59" s="4">
        <f>'Year to date and full year, by '!D18</f>
        <v>0</v>
      </c>
      <c r="D59" s="4">
        <f>'Year to date and full year, by '!E18</f>
        <v>0</v>
      </c>
      <c r="E59" s="4">
        <f>'Year to date and full year, by '!F18</f>
        <v>0</v>
      </c>
      <c r="F59" s="4">
        <f>'Year to date and full year, by '!G18</f>
        <v>0</v>
      </c>
      <c r="G59" s="4">
        <f>'Year to date and full year, by '!H18</f>
        <v>0</v>
      </c>
      <c r="H59" s="4">
        <f>'Year to date and full year, by '!I18</f>
        <v>0</v>
      </c>
      <c r="I59" s="12">
        <f>'Year to date and full year, by '!J18</f>
      </c>
    </row>
    <row r="60">
      <c r="A60" s="0"/>
      <c r="B60" s="0" t="inlineStr">
        <is>
          <t xml:space="preserve">Cost of revenue: support</t>
        </is>
      </c>
      <c r="C60" s="4">
        <f>'Year to date and full year, by '!D30</f>
        <v>0</v>
      </c>
      <c r="D60" s="4">
        <f>'Year to date and full year, by '!E30</f>
        <v>0</v>
      </c>
      <c r="E60" s="4">
        <f>'Year to date and full year, by '!F30</f>
        <v>0</v>
      </c>
      <c r="F60" s="4">
        <f>'Year to date and full year, by '!G30</f>
        <v>0</v>
      </c>
      <c r="G60" s="4">
        <f>'Year to date and full year, by '!H30</f>
        <v>0</v>
      </c>
      <c r="H60" s="4">
        <f>'Year to date and full year, by '!I30</f>
        <v>0</v>
      </c>
      <c r="I60" s="12">
        <f>'Year to date and full year, by '!J30</f>
      </c>
    </row>
    <row r="61">
      <c r="A61" s="0"/>
      <c r="B61" s="0" t="inlineStr">
        <is>
          <t xml:space="preserve">Salaries</t>
        </is>
      </c>
      <c r="C61" s="8">
        <f>'Year to date and full year, by '!D42</f>
        <v>-998089</v>
      </c>
      <c r="D61" s="8">
        <f>'Year to date and full year, by '!E42</f>
        <v>-990000</v>
      </c>
      <c r="E61" s="8">
        <f>'Year to date and full year, by '!F42</f>
        <v>-8089</v>
      </c>
      <c r="F61" s="8">
        <f>'Year to date and full year, by '!G42</f>
        <v>-1575589.0000000002</v>
      </c>
      <c r="G61" s="8">
        <f>'Year to date and full year, by '!H42</f>
        <v>-1567600</v>
      </c>
      <c r="H61" s="8">
        <f>'Year to date and full year, by '!I42</f>
        <v>-7989.000000000233</v>
      </c>
      <c r="I61" s="12">
        <f>'Year to date and full year, by '!J42</f>
        <v>-0.005096325593263736</v>
      </c>
    </row>
    <row r="62">
      <c r="A62" s="0"/>
      <c r="B62" s="0" t="inlineStr">
        <is>
          <t xml:space="preserve">Benefits and payroll taxes</t>
        </is>
      </c>
      <c r="C62" s="8">
        <f>'Year to date and full year, by '!D54</f>
        <v>-216700</v>
      </c>
      <c r="D62" s="8">
        <f>'Year to date and full year, by '!E54</f>
        <v>-207700</v>
      </c>
      <c r="E62" s="8">
        <f>'Year to date and full year, by '!F54</f>
        <v>-9000</v>
      </c>
      <c r="F62" s="8">
        <f>'Year to date and full year, by '!G54</f>
        <v>-340285.00000000006</v>
      </c>
      <c r="G62" s="8">
        <f>'Year to date and full year, by '!H54</f>
        <v>-329000</v>
      </c>
      <c r="H62" s="8">
        <f>'Year to date and full year, by '!I54</f>
        <v>-11285.000000000058</v>
      </c>
      <c r="I62" s="12">
        <f>'Year to date and full year, by '!J54</f>
        <v>-0.03430091185410352</v>
      </c>
    </row>
    <row r="63">
      <c r="A63" s="0"/>
      <c r="B63" s="0" t="inlineStr">
        <is>
          <t xml:space="preserve">Commissions</t>
        </is>
      </c>
      <c r="C63" s="4">
        <f>'Year to date and full year, by '!D66</f>
        <v>0</v>
      </c>
      <c r="D63" s="4">
        <f>'Year to date and full year, by '!E66</f>
        <v>0</v>
      </c>
      <c r="E63" s="4">
        <f>'Year to date and full year, by '!F66</f>
        <v>0</v>
      </c>
      <c r="F63" s="4">
        <f>'Year to date and full year, by '!G66</f>
        <v>0</v>
      </c>
      <c r="G63" s="4">
        <f>'Year to date and full year, by '!H66</f>
        <v>0</v>
      </c>
      <c r="H63" s="4">
        <f>'Year to date and full year, by '!I66</f>
        <v>0</v>
      </c>
      <c r="I63" s="12">
        <f>'Year to date and full year, by '!J66</f>
      </c>
    </row>
    <row r="64">
      <c r="A64" s="0"/>
      <c r="B64" s="0" t="inlineStr">
        <is>
          <t xml:space="preserve">Contractors</t>
        </is>
      </c>
      <c r="C64" s="4">
        <f>'Year to date and full year, by '!D78</f>
        <v>0</v>
      </c>
      <c r="D64" s="4">
        <f>'Year to date and full year, by '!E78</f>
        <v>0</v>
      </c>
      <c r="E64" s="4">
        <f>'Year to date and full year, by '!F78</f>
        <v>0</v>
      </c>
      <c r="F64" s="4">
        <f>'Year to date and full year, by '!G78</f>
        <v>0</v>
      </c>
      <c r="G64" s="4">
        <f>'Year to date and full year, by '!H78</f>
        <v>0</v>
      </c>
      <c r="H64" s="4">
        <f>'Year to date and full year, by '!I78</f>
        <v>0</v>
      </c>
      <c r="I64" s="12">
        <f>'Year to date and full year, by '!J78</f>
      </c>
    </row>
    <row r="65">
      <c r="A65" s="0"/>
      <c r="B65" s="0" t="inlineStr">
        <is>
          <t xml:space="preserve">Cloud and infrastructure</t>
        </is>
      </c>
      <c r="C65" s="4">
        <f>'Year to date and full year, by '!D90</f>
        <v>0</v>
      </c>
      <c r="D65" s="4">
        <f>'Year to date and full year, by '!E90</f>
        <v>0</v>
      </c>
      <c r="E65" s="4">
        <f>'Year to date and full year, by '!F90</f>
        <v>0</v>
      </c>
      <c r="F65" s="4">
        <f>'Year to date and full year, by '!G90</f>
        <v>0</v>
      </c>
      <c r="G65" s="4">
        <f>'Year to date and full year, by '!H90</f>
        <v>0</v>
      </c>
      <c r="H65" s="4">
        <f>'Year to date and full year, by '!I90</f>
        <v>0</v>
      </c>
      <c r="I65" s="12">
        <f>'Year to date and full year, by '!J90</f>
      </c>
    </row>
    <row r="66">
      <c r="A66" s="0"/>
      <c r="B66" s="0" t="inlineStr">
        <is>
          <t xml:space="preserve">Marketing programs</t>
        </is>
      </c>
      <c r="C66" s="4">
        <f>'Year to date and full year, by '!D102</f>
        <v>0</v>
      </c>
      <c r="D66" s="4">
        <f>'Year to date and full year, by '!E102</f>
        <v>0</v>
      </c>
      <c r="E66" s="4">
        <f>'Year to date and full year, by '!F102</f>
        <v>0</v>
      </c>
      <c r="F66" s="4">
        <f>'Year to date and full year, by '!G102</f>
        <v>0</v>
      </c>
      <c r="G66" s="4">
        <f>'Year to date and full year, by '!H102</f>
        <v>0</v>
      </c>
      <c r="H66" s="4">
        <f>'Year to date and full year, by '!I102</f>
        <v>0</v>
      </c>
      <c r="I66" s="12">
        <f>'Year to date and full year, by '!J102</f>
      </c>
    </row>
    <row r="67">
      <c r="A67" s="0"/>
      <c r="B67" s="0" t="inlineStr">
        <is>
          <t xml:space="preserve">Software and tools</t>
        </is>
      </c>
      <c r="C67" s="8">
        <f>'Year to date and full year, by '!D114</f>
        <v>-57883</v>
      </c>
      <c r="D67" s="8">
        <f>'Year to date and full year, by '!E114</f>
        <v>-56800</v>
      </c>
      <c r="E67" s="8">
        <f>'Year to date and full year, by '!F114</f>
        <v>-1083</v>
      </c>
      <c r="F67" s="8">
        <f>'Year to date and full year, by '!G114</f>
        <v>-85359.46343713003</v>
      </c>
      <c r="G67" s="8">
        <f>'Year to date and full year, by '!H114</f>
        <v>-85900</v>
      </c>
      <c r="H67" s="8">
        <f>'Year to date and full year, by '!I114</f>
        <v>540.5365628699656</v>
      </c>
      <c r="I67" s="12">
        <f>'Year to date and full year, by '!J114</f>
        <v>0.006292625877415198</v>
      </c>
    </row>
    <row r="68">
      <c r="A68" s="0"/>
      <c r="B68" s="0" t="inlineStr">
        <is>
          <t xml:space="preserve">Travel and events</t>
        </is>
      </c>
      <c r="C68" s="8">
        <f>'Year to date and full year, by '!D126</f>
        <v>-33276</v>
      </c>
      <c r="D68" s="8">
        <f>'Year to date and full year, by '!E126</f>
        <v>-32400</v>
      </c>
      <c r="E68" s="8">
        <f>'Year to date and full year, by '!F126</f>
        <v>-876</v>
      </c>
      <c r="F68" s="8">
        <f>'Year to date and full year, by '!G126</f>
        <v>-49716.40201816751</v>
      </c>
      <c r="G68" s="8">
        <f>'Year to date and full year, by '!H126</f>
        <v>-49000</v>
      </c>
      <c r="H68" s="8">
        <f>'Year to date and full year, by '!I126</f>
        <v>-716.4020181675078</v>
      </c>
      <c r="I68" s="12">
        <f>'Year to date and full year, by '!J126</f>
        <v>-0.014620449350357301</v>
      </c>
    </row>
    <row r="69">
      <c r="A69" s="0"/>
      <c r="B69" s="0" t="inlineStr">
        <is>
          <t xml:space="preserve">Rent and facilities</t>
        </is>
      </c>
      <c r="C69" s="4">
        <f>'Year to date and full year, by '!D138</f>
        <v>0</v>
      </c>
      <c r="D69" s="4">
        <f>'Year to date and full year, by '!E138</f>
        <v>0</v>
      </c>
      <c r="E69" s="4">
        <f>'Year to date and full year, by '!F138</f>
        <v>0</v>
      </c>
      <c r="F69" s="4">
        <f>'Year to date and full year, by '!G138</f>
        <v>0</v>
      </c>
      <c r="G69" s="4">
        <f>'Year to date and full year, by '!H138</f>
        <v>0</v>
      </c>
      <c r="H69" s="4">
        <f>'Year to date and full year, by '!I138</f>
        <v>0</v>
      </c>
      <c r="I69" s="12">
        <f>'Year to date and full year, by '!J138</f>
      </c>
    </row>
    <row r="70">
      <c r="A70" s="0"/>
      <c r="B70" s="0" t="inlineStr">
        <is>
          <t xml:space="preserve">Professional fees</t>
        </is>
      </c>
      <c r="C70" s="4">
        <f>'Year to date and full year, by '!D150</f>
        <v>0</v>
      </c>
      <c r="D70" s="4">
        <f>'Year to date and full year, by '!E150</f>
        <v>0</v>
      </c>
      <c r="E70" s="4">
        <f>'Year to date and full year, by '!F150</f>
        <v>0</v>
      </c>
      <c r="F70" s="4">
        <f>'Year to date and full year, by '!G150</f>
        <v>0</v>
      </c>
      <c r="G70" s="4">
        <f>'Year to date and full year, by '!H150</f>
        <v>0</v>
      </c>
      <c r="H70" s="4">
        <f>'Year to date and full year, by '!I150</f>
        <v>0</v>
      </c>
      <c r="I70" s="12">
        <f>'Year to date and full year, by '!J150</f>
      </c>
    </row>
    <row r="71">
      <c r="A71" s="0"/>
      <c r="B71" s="0" t="inlineStr">
        <is>
          <t xml:space="preserve">Net</t>
        </is>
      </c>
      <c r="C71" s="8">
        <f>'Year to date and full year, by '!D162</f>
        <v>-1305948</v>
      </c>
      <c r="D71" s="8">
        <f>'Year to date and full year, by '!E162</f>
        <v>-1286900</v>
      </c>
      <c r="E71" s="8">
        <f>'Year to date and full year, by '!F162</f>
        <v>-19048</v>
      </c>
      <c r="F71" s="8">
        <f>'Year to date and full year, by '!G162</f>
        <v>-2050949.8654552973</v>
      </c>
      <c r="G71" s="8">
        <f>'Year to date and full year, by '!H162</f>
        <v>-2031500</v>
      </c>
      <c r="H71" s="8">
        <f>'Year to date and full year, by '!I162</f>
        <v>-19449.865455297288</v>
      </c>
      <c r="I71" s="12">
        <f>'Year to date and full year, by '!J162</f>
        <v>-0.009574140022297459</v>
      </c>
    </row>
    <row r="72">
      <c r="A72" s="0" t="inlineStr">
        <is>
          <t xml:space="preserve">G&amp;A</t>
        </is>
      </c>
      <c r="B72" s="0" t="inlineStr">
        <is>
          <t xml:space="preserve">Revenue</t>
        </is>
      </c>
      <c r="C72" s="4">
        <f>'Year to date and full year, by '!D7</f>
        <v>0</v>
      </c>
      <c r="D72" s="4">
        <f>'Year to date and full year, by '!E7</f>
        <v>0</v>
      </c>
      <c r="E72" s="4">
        <f>'Year to date and full year, by '!F7</f>
        <v>0</v>
      </c>
      <c r="F72" s="4">
        <f>'Year to date and full year, by '!G7</f>
        <v>0</v>
      </c>
      <c r="G72" s="4">
        <f>'Year to date and full year, by '!H7</f>
        <v>0</v>
      </c>
      <c r="H72" s="4">
        <f>'Year to date and full year, by '!I7</f>
        <v>0</v>
      </c>
      <c r="I72" s="12">
        <f>'Year to date and full year, by '!J7</f>
      </c>
    </row>
    <row r="73">
      <c r="A73" s="0"/>
      <c r="B73" s="0" t="inlineStr">
        <is>
          <t xml:space="preserve">Cost of revenue: hosting</t>
        </is>
      </c>
      <c r="C73" s="4">
        <f>'Year to date and full year, by '!D19</f>
        <v>0</v>
      </c>
      <c r="D73" s="4">
        <f>'Year to date and full year, by '!E19</f>
        <v>0</v>
      </c>
      <c r="E73" s="4">
        <f>'Year to date and full year, by '!F19</f>
        <v>0</v>
      </c>
      <c r="F73" s="4">
        <f>'Year to date and full year, by '!G19</f>
        <v>0</v>
      </c>
      <c r="G73" s="4">
        <f>'Year to date and full year, by '!H19</f>
        <v>0</v>
      </c>
      <c r="H73" s="4">
        <f>'Year to date and full year, by '!I19</f>
        <v>0</v>
      </c>
      <c r="I73" s="12">
        <f>'Year to date and full year, by '!J19</f>
      </c>
    </row>
    <row r="74">
      <c r="A74" s="0"/>
      <c r="B74" s="0" t="inlineStr">
        <is>
          <t xml:space="preserve">Cost of revenue: support</t>
        </is>
      </c>
      <c r="C74" s="4">
        <f>'Year to date and full year, by '!D31</f>
        <v>0</v>
      </c>
      <c r="D74" s="4">
        <f>'Year to date and full year, by '!E31</f>
        <v>0</v>
      </c>
      <c r="E74" s="4">
        <f>'Year to date and full year, by '!F31</f>
        <v>0</v>
      </c>
      <c r="F74" s="4">
        <f>'Year to date and full year, by '!G31</f>
        <v>0</v>
      </c>
      <c r="G74" s="4">
        <f>'Year to date and full year, by '!H31</f>
        <v>0</v>
      </c>
      <c r="H74" s="4">
        <f>'Year to date and full year, by '!I31</f>
        <v>0</v>
      </c>
      <c r="I74" s="12">
        <f>'Year to date and full year, by '!J31</f>
      </c>
    </row>
    <row r="75">
      <c r="A75" s="0"/>
      <c r="B75" s="0" t="inlineStr">
        <is>
          <t xml:space="preserve">Salaries</t>
        </is>
      </c>
      <c r="C75" s="4">
        <f>'Year to date and full year, by '!D43</f>
        <v>-1075245</v>
      </c>
      <c r="D75" s="4">
        <f>'Year to date and full year, by '!E43</f>
        <v>-1062500</v>
      </c>
      <c r="E75" s="4">
        <f>'Year to date and full year, by '!F43</f>
        <v>-12745</v>
      </c>
      <c r="F75" s="4">
        <f>'Year to date and full year, by '!G43</f>
        <v>-1675245</v>
      </c>
      <c r="G75" s="4">
        <f>'Year to date and full year, by '!H43</f>
        <v>-1662500</v>
      </c>
      <c r="H75" s="4">
        <f>'Year to date and full year, by '!I43</f>
        <v>-12745</v>
      </c>
      <c r="I75" s="12">
        <f>'Year to date and full year, by '!J43</f>
        <v>-0.007666165413533835</v>
      </c>
    </row>
    <row r="76">
      <c r="A76" s="0"/>
      <c r="B76" s="0" t="inlineStr">
        <is>
          <t xml:space="preserve">Benefits and payroll taxes</t>
        </is>
      </c>
      <c r="C76" s="4">
        <f>'Year to date and full year, by '!D55</f>
        <v>-224338</v>
      </c>
      <c r="D76" s="4">
        <f>'Year to date and full year, by '!E55</f>
        <v>-223100</v>
      </c>
      <c r="E76" s="4">
        <f>'Year to date and full year, by '!F55</f>
        <v>-1238</v>
      </c>
      <c r="F76" s="4">
        <f>'Year to date and full year, by '!G55</f>
        <v>-352738</v>
      </c>
      <c r="G76" s="4">
        <f>'Year to date and full year, by '!H55</f>
        <v>-349100</v>
      </c>
      <c r="H76" s="4">
        <f>'Year to date and full year, by '!I55</f>
        <v>-3638</v>
      </c>
      <c r="I76" s="12">
        <f>'Year to date and full year, by '!J55</f>
        <v>-0.010421082784302493</v>
      </c>
    </row>
    <row r="77">
      <c r="A77" s="0"/>
      <c r="B77" s="0" t="inlineStr">
        <is>
          <t xml:space="preserve">Commissions</t>
        </is>
      </c>
      <c r="C77" s="4">
        <f>'Year to date and full year, by '!D67</f>
        <v>0</v>
      </c>
      <c r="D77" s="4">
        <f>'Year to date and full year, by '!E67</f>
        <v>0</v>
      </c>
      <c r="E77" s="4">
        <f>'Year to date and full year, by '!F67</f>
        <v>0</v>
      </c>
      <c r="F77" s="4">
        <f>'Year to date and full year, by '!G67</f>
        <v>0</v>
      </c>
      <c r="G77" s="4">
        <f>'Year to date and full year, by '!H67</f>
        <v>0</v>
      </c>
      <c r="H77" s="4">
        <f>'Year to date and full year, by '!I67</f>
        <v>0</v>
      </c>
      <c r="I77" s="12">
        <f>'Year to date and full year, by '!J67</f>
      </c>
    </row>
    <row r="78">
      <c r="A78" s="0"/>
      <c r="B78" s="0" t="inlineStr">
        <is>
          <t xml:space="preserve">Contractors</t>
        </is>
      </c>
      <c r="C78" s="4">
        <f>'Year to date and full year, by '!D79</f>
        <v>0</v>
      </c>
      <c r="D78" s="4">
        <f>'Year to date and full year, by '!E79</f>
        <v>0</v>
      </c>
      <c r="E78" s="4">
        <f>'Year to date and full year, by '!F79</f>
        <v>0</v>
      </c>
      <c r="F78" s="4">
        <f>'Year to date and full year, by '!G79</f>
        <v>0</v>
      </c>
      <c r="G78" s="4">
        <f>'Year to date and full year, by '!H79</f>
        <v>0</v>
      </c>
      <c r="H78" s="4">
        <f>'Year to date and full year, by '!I79</f>
        <v>0</v>
      </c>
      <c r="I78" s="12">
        <f>'Year to date and full year, by '!J79</f>
      </c>
    </row>
    <row r="79">
      <c r="A79" s="0"/>
      <c r="B79" s="0" t="inlineStr">
        <is>
          <t xml:space="preserve">Cloud and infrastructure</t>
        </is>
      </c>
      <c r="C79" s="4">
        <f>'Year to date and full year, by '!D91</f>
        <v>0</v>
      </c>
      <c r="D79" s="4">
        <f>'Year to date and full year, by '!E91</f>
        <v>0</v>
      </c>
      <c r="E79" s="4">
        <f>'Year to date and full year, by '!F91</f>
        <v>0</v>
      </c>
      <c r="F79" s="4">
        <f>'Year to date and full year, by '!G91</f>
        <v>0</v>
      </c>
      <c r="G79" s="4">
        <f>'Year to date and full year, by '!H91</f>
        <v>0</v>
      </c>
      <c r="H79" s="4">
        <f>'Year to date and full year, by '!I91</f>
        <v>0</v>
      </c>
      <c r="I79" s="12">
        <f>'Year to date and full year, by '!J91</f>
      </c>
    </row>
    <row r="80">
      <c r="A80" s="0"/>
      <c r="B80" s="0" t="inlineStr">
        <is>
          <t xml:space="preserve">Marketing programs</t>
        </is>
      </c>
      <c r="C80" s="4">
        <f>'Year to date and full year, by '!D103</f>
        <v>0</v>
      </c>
      <c r="D80" s="4">
        <f>'Year to date and full year, by '!E103</f>
        <v>0</v>
      </c>
      <c r="E80" s="4">
        <f>'Year to date and full year, by '!F103</f>
        <v>0</v>
      </c>
      <c r="F80" s="4">
        <f>'Year to date and full year, by '!G103</f>
        <v>0</v>
      </c>
      <c r="G80" s="4">
        <f>'Year to date and full year, by '!H103</f>
        <v>0</v>
      </c>
      <c r="H80" s="4">
        <f>'Year to date and full year, by '!I103</f>
        <v>0</v>
      </c>
      <c r="I80" s="12">
        <f>'Year to date and full year, by '!J103</f>
      </c>
    </row>
    <row r="81">
      <c r="A81" s="0"/>
      <c r="B81" s="0" t="inlineStr">
        <is>
          <t xml:space="preserve">Software and tools</t>
        </is>
      </c>
      <c r="C81" s="8">
        <f>'Year to date and full year, by '!D115</f>
        <v>-91063</v>
      </c>
      <c r="D81" s="8">
        <f>'Year to date and full year, by '!E115</f>
        <v>-89200</v>
      </c>
      <c r="E81" s="8">
        <f>'Year to date and full year, by '!F115</f>
        <v>-1863</v>
      </c>
      <c r="F81" s="8">
        <f>'Year to date and full year, by '!G115</f>
        <v>-138674.79403927692</v>
      </c>
      <c r="G81" s="8">
        <f>'Year to date and full year, by '!H115</f>
        <v>-134900</v>
      </c>
      <c r="H81" s="8">
        <f>'Year to date and full year, by '!I115</f>
        <v>-3774.7940392769233</v>
      </c>
      <c r="I81" s="12">
        <f>'Year to date and full year, by '!J115</f>
        <v>-0.027982164857501286</v>
      </c>
    </row>
    <row r="82">
      <c r="A82" s="0"/>
      <c r="B82" s="0" t="inlineStr">
        <is>
          <t xml:space="preserve">Travel and events</t>
        </is>
      </c>
      <c r="C82" s="8">
        <f>'Year to date and full year, by '!D127</f>
        <v>-48515</v>
      </c>
      <c r="D82" s="8">
        <f>'Year to date and full year, by '!E127</f>
        <v>-48600</v>
      </c>
      <c r="E82" s="8">
        <f>'Year to date and full year, by '!F127</f>
        <v>85</v>
      </c>
      <c r="F82" s="8">
        <f>'Year to date and full year, by '!G127</f>
        <v>-72487.3718239716</v>
      </c>
      <c r="G82" s="8">
        <f>'Year to date and full year, by '!H127</f>
        <v>-73500</v>
      </c>
      <c r="H82" s="8">
        <f>'Year to date and full year, by '!I127</f>
        <v>1012.6281760284037</v>
      </c>
      <c r="I82" s="12">
        <f>'Year to date and full year, by '!J127</f>
        <v>0.01377725409562454</v>
      </c>
    </row>
    <row r="83">
      <c r="A83" s="0"/>
      <c r="B83" s="0" t="inlineStr">
        <is>
          <t xml:space="preserve">Rent and facilities</t>
        </is>
      </c>
      <c r="C83" s="8">
        <f>'Year to date and full year, by '!D139</f>
        <v>-710849</v>
      </c>
      <c r="D83" s="8">
        <f>'Year to date and full year, by '!E139</f>
        <v>-714000</v>
      </c>
      <c r="E83" s="8">
        <f>'Year to date and full year, by '!F139</f>
        <v>3151</v>
      </c>
      <c r="F83" s="8">
        <f>'Year to date and full year, by '!G139</f>
        <v>-1096010.7918106571</v>
      </c>
      <c r="G83" s="8">
        <f>'Year to date and full year, by '!H139</f>
        <v>-1079700</v>
      </c>
      <c r="H83" s="8">
        <f>'Year to date and full year, by '!I139</f>
        <v>-16310.79181065713</v>
      </c>
      <c r="I83" s="12">
        <f>'Year to date and full year, by '!J139</f>
        <v>-0.015106781338017163</v>
      </c>
    </row>
    <row r="84">
      <c r="A84" s="0"/>
      <c r="B84" s="0" t="inlineStr">
        <is>
          <t xml:space="preserve">Professional fees</t>
        </is>
      </c>
      <c r="C84" s="8">
        <f>'Year to date and full year, by '!D151</f>
        <v>-273365</v>
      </c>
      <c r="D84" s="8">
        <f>'Year to date and full year, by '!E151</f>
        <v>-275800</v>
      </c>
      <c r="E84" s="8">
        <f>'Year to date and full year, by '!F151</f>
        <v>2435</v>
      </c>
      <c r="F84" s="8">
        <f>'Year to date and full year, by '!G151</f>
        <v>-411941.0633435511</v>
      </c>
      <c r="G84" s="8">
        <f>'Year to date and full year, by '!H151</f>
        <v>-417000</v>
      </c>
      <c r="H84" s="8">
        <f>'Year to date and full year, by '!I151</f>
        <v>5058.936656448874</v>
      </c>
      <c r="I84" s="12">
        <f>'Year to date and full year, by '!J151</f>
        <v>0.012131742581412168</v>
      </c>
    </row>
    <row r="85">
      <c r="A85" s="0"/>
      <c r="B85" s="0" t="inlineStr">
        <is>
          <t xml:space="preserve">Net</t>
        </is>
      </c>
      <c r="C85" s="8">
        <f>'Year to date and full year, by '!D163</f>
        <v>-2423375</v>
      </c>
      <c r="D85" s="8">
        <f>'Year to date and full year, by '!E163</f>
        <v>-2413200</v>
      </c>
      <c r="E85" s="8">
        <f>'Year to date and full year, by '!F163</f>
        <v>-10175</v>
      </c>
      <c r="F85" s="8">
        <f>'Year to date and full year, by '!G163</f>
        <v>-3747097.021017457</v>
      </c>
      <c r="G85" s="8">
        <f>'Year to date and full year, by '!H163</f>
        <v>-3716700</v>
      </c>
      <c r="H85" s="8">
        <f>'Year to date and full year, by '!I163</f>
        <v>-30397.021017456893</v>
      </c>
      <c r="I85" s="12">
        <f>'Year to date and full year, by '!J163</f>
        <v>-0.008178497327590845</v>
      </c>
    </row>
    <row r="87">
      <c r="A87" s="1" t="inlineStr">
        <is>
          <t xml:space="preserve">Headcount plan (period end; edit September to December)</t>
        </is>
      </c>
      <c r="B87" s="3" t="inlineStr">
        <is>
          <t xml:space="preserve">Inputs: edit the blue cells on the 'Headcount plan' sheet; this table follows them.</t>
        </is>
      </c>
    </row>
    <row r="88">
      <c r="A88" s="1" t="inlineStr">
        <is>
          <t xml:space="preserve">subsidiary</t>
        </is>
      </c>
      <c r="B88" s="1" t="inlineStr">
        <is>
          <t xml:space="preserve">department</t>
        </is>
      </c>
      <c r="C88" s="1" t="inlineStr">
        <is>
          <t xml:space="preserve">Jan-26</t>
        </is>
      </c>
      <c r="D88" s="1" t="inlineStr">
        <is>
          <t xml:space="preserve">Feb-26</t>
        </is>
      </c>
      <c r="E88" s="1" t="inlineStr">
        <is>
          <t xml:space="preserve">Mar-26</t>
        </is>
      </c>
      <c r="F88" s="1" t="inlineStr">
        <is>
          <t xml:space="preserve">Apr-26</t>
        </is>
      </c>
      <c r="G88" s="1" t="inlineStr">
        <is>
          <t xml:space="preserve">May-26</t>
        </is>
      </c>
      <c r="H88" s="1" t="inlineStr">
        <is>
          <t xml:space="preserve">Jun-26</t>
        </is>
      </c>
      <c r="I88" s="1" t="inlineStr">
        <is>
          <t xml:space="preserve">Jul-26</t>
        </is>
      </c>
      <c r="J88" s="1" t="inlineStr">
        <is>
          <t xml:space="preserve">Aug-26</t>
        </is>
      </c>
      <c r="K88" s="1" t="inlineStr">
        <is>
          <t xml:space="preserve">Sep-26</t>
        </is>
      </c>
      <c r="L88" s="1" t="inlineStr">
        <is>
          <t xml:space="preserve">Oct-26</t>
        </is>
      </c>
      <c r="M88" s="1" t="inlineStr">
        <is>
          <t xml:space="preserve">Nov-26</t>
        </is>
      </c>
      <c r="N88" s="1" t="inlineStr">
        <is>
          <t xml:space="preserve">Dec-26</t>
        </is>
      </c>
    </row>
    <row r="89">
      <c r="A89" s="0" t="inlineStr">
        <is>
          <t xml:space="preserve">United States</t>
        </is>
      </c>
      <c r="B89" s="0" t="inlineStr">
        <is>
          <t xml:space="preserve">Sales</t>
        </is>
      </c>
      <c r="C89" s="4">
        <f>'Headcount plan'!D3</f>
        <v>22</v>
      </c>
      <c r="D89" s="4">
        <f>'Headcount plan'!E3</f>
        <v>23</v>
      </c>
      <c r="E89" s="4">
        <f>'Headcount plan'!F3</f>
        <v>23</v>
      </c>
      <c r="F89" s="4">
        <f>'Headcount plan'!G3</f>
        <v>24</v>
      </c>
      <c r="G89" s="4">
        <f>'Headcount plan'!H3</f>
        <v>24</v>
      </c>
      <c r="H89" s="4">
        <f>'Headcount plan'!I3</f>
        <v>25</v>
      </c>
      <c r="I89" s="4">
        <f>'Headcount plan'!J3</f>
        <v>25</v>
      </c>
      <c r="J89" s="4">
        <f>'Headcount plan'!K3</f>
        <v>26</v>
      </c>
      <c r="K89" s="4">
        <f>'Headcount plan'!L3</f>
        <v>29</v>
      </c>
      <c r="L89" s="4">
        <f>'Headcount plan'!M3</f>
        <v>30</v>
      </c>
      <c r="M89" s="4">
        <f>'Headcount plan'!N3</f>
        <v>30</v>
      </c>
      <c r="N89" s="4">
        <f>'Headcount plan'!O3</f>
        <v>31</v>
      </c>
    </row>
    <row r="90">
      <c r="A90" s="0"/>
      <c r="B90" s="0" t="inlineStr">
        <is>
          <t xml:space="preserve">Marketing</t>
        </is>
      </c>
      <c r="C90" s="4">
        <f>'Headcount plan'!D4</f>
        <v>9</v>
      </c>
      <c r="D90" s="4">
        <f>'Headcount plan'!E4</f>
        <v>9</v>
      </c>
      <c r="E90" s="4">
        <f>'Headcount plan'!F4</f>
        <v>10</v>
      </c>
      <c r="F90" s="4">
        <f>'Headcount plan'!G4</f>
        <v>10</v>
      </c>
      <c r="G90" s="4">
        <f>'Headcount plan'!H4</f>
        <v>10</v>
      </c>
      <c r="H90" s="4">
        <f>'Headcount plan'!I4</f>
        <v>10</v>
      </c>
      <c r="I90" s="4">
        <f>'Headcount plan'!J4</f>
        <v>11</v>
      </c>
      <c r="J90" s="4">
        <f>'Headcount plan'!K4</f>
        <v>11</v>
      </c>
      <c r="K90" s="4">
        <f>'Headcount plan'!L4</f>
        <v>11</v>
      </c>
      <c r="L90" s="4">
        <f>'Headcount plan'!M4</f>
        <v>12</v>
      </c>
      <c r="M90" s="4">
        <f>'Headcount plan'!N4</f>
        <v>12</v>
      </c>
      <c r="N90" s="4">
        <f>'Headcount plan'!O4</f>
        <v>12</v>
      </c>
    </row>
    <row r="91">
      <c r="A91" s="0"/>
      <c r="B91" s="0" t="inlineStr">
        <is>
          <t xml:space="preserve">Engineering</t>
        </is>
      </c>
      <c r="C91" s="4">
        <f>'Headcount plan'!D5</f>
        <v>39</v>
      </c>
      <c r="D91" s="4">
        <f>'Headcount plan'!E5</f>
        <v>40</v>
      </c>
      <c r="E91" s="4">
        <f>'Headcount plan'!F5</f>
        <v>42</v>
      </c>
      <c r="F91" s="4">
        <f>'Headcount plan'!G5</f>
        <v>43</v>
      </c>
      <c r="G91" s="4">
        <f>'Headcount plan'!H5</f>
        <v>44</v>
      </c>
      <c r="H91" s="4">
        <f>'Headcount plan'!I5</f>
        <v>46</v>
      </c>
      <c r="I91" s="4">
        <f>'Headcount plan'!J5</f>
        <v>47</v>
      </c>
      <c r="J91" s="4">
        <f>'Headcount plan'!K5</f>
        <v>48</v>
      </c>
      <c r="K91" s="4">
        <f>'Headcount plan'!L5</f>
        <v>52</v>
      </c>
      <c r="L91" s="4">
        <f>'Headcount plan'!M5</f>
        <v>53</v>
      </c>
      <c r="M91" s="4">
        <f>'Headcount plan'!N5</f>
        <v>54</v>
      </c>
      <c r="N91" s="4">
        <f>'Headcount plan'!O5</f>
        <v>55</v>
      </c>
    </row>
    <row r="92">
      <c r="A92" s="0"/>
      <c r="B92" s="0" t="inlineStr">
        <is>
          <t xml:space="preserve">Customer success</t>
        </is>
      </c>
      <c r="C92" s="4">
        <f>'Headcount plan'!D6</f>
        <v>12</v>
      </c>
      <c r="D92" s="4">
        <f>'Headcount plan'!E6</f>
        <v>13</v>
      </c>
      <c r="E92" s="4">
        <f>'Headcount plan'!F6</f>
        <v>13</v>
      </c>
      <c r="F92" s="4">
        <f>'Headcount plan'!G6</f>
        <v>13</v>
      </c>
      <c r="G92" s="4">
        <f>'Headcount plan'!H6</f>
        <v>14</v>
      </c>
      <c r="H92" s="4">
        <f>'Headcount plan'!I6</f>
        <v>14</v>
      </c>
      <c r="I92" s="4">
        <f>'Headcount plan'!J6</f>
        <v>14</v>
      </c>
      <c r="J92" s="4">
        <f>'Headcount plan'!K6</f>
        <v>15</v>
      </c>
      <c r="K92" s="4">
        <f>'Headcount plan'!L6</f>
        <v>15</v>
      </c>
      <c r="L92" s="4">
        <f>'Headcount plan'!M6</f>
        <v>16</v>
      </c>
      <c r="M92" s="4">
        <f>'Headcount plan'!N6</f>
        <v>16</v>
      </c>
      <c r="N92" s="4">
        <f>'Headcount plan'!O6</f>
        <v>16</v>
      </c>
    </row>
    <row r="93">
      <c r="A93" s="0"/>
      <c r="B93" s="0" t="inlineStr">
        <is>
          <t xml:space="preserve">G&amp;A</t>
        </is>
      </c>
      <c r="C93" s="4">
        <f>'Headcount plan'!D7</f>
        <v>10</v>
      </c>
      <c r="D93" s="4">
        <f>'Headcount plan'!E7</f>
        <v>10</v>
      </c>
      <c r="E93" s="4">
        <f>'Headcount plan'!F7</f>
        <v>10</v>
      </c>
      <c r="F93" s="4">
        <f>'Headcount plan'!G7</f>
        <v>11</v>
      </c>
      <c r="G93" s="4">
        <f>'Headcount plan'!H7</f>
        <v>11</v>
      </c>
      <c r="H93" s="4">
        <f>'Headcount plan'!I7</f>
        <v>11</v>
      </c>
      <c r="I93" s="4">
        <f>'Headcount plan'!J7</f>
        <v>11</v>
      </c>
      <c r="J93" s="4">
        <f>'Headcount plan'!K7</f>
        <v>11</v>
      </c>
      <c r="K93" s="4">
        <f>'Headcount plan'!L7</f>
        <v>12</v>
      </c>
      <c r="L93" s="4">
        <f>'Headcount plan'!M7</f>
        <v>12</v>
      </c>
      <c r="M93" s="4">
        <f>'Headcount plan'!N7</f>
        <v>12</v>
      </c>
      <c r="N93" s="4">
        <f>'Headcount plan'!O7</f>
        <v>12</v>
      </c>
    </row>
    <row r="94">
      <c r="A94" s="0" t="inlineStr">
        <is>
          <t xml:space="preserve">United Kingdom</t>
        </is>
      </c>
      <c r="B94" s="0" t="inlineStr">
        <is>
          <t xml:space="preserve">Sales</t>
        </is>
      </c>
      <c r="C94" s="4">
        <f>'Headcount plan'!D9</f>
        <v>9</v>
      </c>
      <c r="D94" s="4">
        <f>'Headcount plan'!E9</f>
        <v>9</v>
      </c>
      <c r="E94" s="4">
        <f>'Headcount plan'!F9</f>
        <v>9</v>
      </c>
      <c r="F94" s="4">
        <f>'Headcount plan'!G9</f>
        <v>9</v>
      </c>
      <c r="G94" s="4">
        <f>'Headcount plan'!H9</f>
        <v>9</v>
      </c>
      <c r="H94" s="4">
        <f>'Headcount plan'!I9</f>
        <v>9</v>
      </c>
      <c r="I94" s="4">
        <f>'Headcount plan'!J9</f>
        <v>9</v>
      </c>
      <c r="J94" s="4">
        <f>'Headcount plan'!K9</f>
        <v>9</v>
      </c>
      <c r="K94" s="4">
        <f>'Headcount plan'!L9</f>
        <v>12</v>
      </c>
      <c r="L94" s="4">
        <f>'Headcount plan'!M9</f>
        <v>12</v>
      </c>
      <c r="M94" s="4">
        <f>'Headcount plan'!N9</f>
        <v>12</v>
      </c>
      <c r="N94" s="4">
        <f>'Headcount plan'!O9</f>
        <v>12</v>
      </c>
    </row>
    <row r="95">
      <c r="A95" s="0"/>
      <c r="B95" s="0" t="inlineStr">
        <is>
          <t xml:space="preserve">Marketing</t>
        </is>
      </c>
      <c r="C95" s="4">
        <f>'Headcount plan'!D10</f>
        <v>4</v>
      </c>
      <c r="D95" s="4">
        <f>'Headcount plan'!E10</f>
        <v>4</v>
      </c>
      <c r="E95" s="4">
        <f>'Headcount plan'!F10</f>
        <v>5</v>
      </c>
      <c r="F95" s="4">
        <f>'Headcount plan'!G10</f>
        <v>5</v>
      </c>
      <c r="G95" s="4">
        <f>'Headcount plan'!H10</f>
        <v>5</v>
      </c>
      <c r="H95" s="4">
        <f>'Headcount plan'!I10</f>
        <v>5</v>
      </c>
      <c r="I95" s="4">
        <f>'Headcount plan'!J10</f>
        <v>6</v>
      </c>
      <c r="J95" s="4">
        <f>'Headcount plan'!K10</f>
        <v>6</v>
      </c>
      <c r="K95" s="4">
        <f>'Headcount plan'!L10</f>
        <v>6</v>
      </c>
      <c r="L95" s="4">
        <f>'Headcount plan'!M10</f>
        <v>6</v>
      </c>
      <c r="M95" s="4">
        <f>'Headcount plan'!N10</f>
        <v>6</v>
      </c>
      <c r="N95" s="4">
        <f>'Headcount plan'!O10</f>
        <v>6</v>
      </c>
    </row>
    <row r="96">
      <c r="A96" s="0"/>
      <c r="B96" s="0" t="inlineStr">
        <is>
          <t xml:space="preserve">Engineering</t>
        </is>
      </c>
      <c r="C96" s="4">
        <f>'Headcount plan'!D11</f>
        <v>17</v>
      </c>
      <c r="D96" s="4">
        <f>'Headcount plan'!E11</f>
        <v>17</v>
      </c>
      <c r="E96" s="4">
        <f>'Headcount plan'!F11</f>
        <v>19</v>
      </c>
      <c r="F96" s="4">
        <f>'Headcount plan'!G11</f>
        <v>19</v>
      </c>
      <c r="G96" s="4">
        <f>'Headcount plan'!H11</f>
        <v>20</v>
      </c>
      <c r="H96" s="4">
        <f>'Headcount plan'!I11</f>
        <v>20</v>
      </c>
      <c r="I96" s="4">
        <f>'Headcount plan'!J11</f>
        <v>21</v>
      </c>
      <c r="J96" s="4">
        <f>'Headcount plan'!K11</f>
        <v>21</v>
      </c>
      <c r="K96" s="4">
        <f>'Headcount plan'!L11</f>
        <v>25</v>
      </c>
      <c r="L96" s="4">
        <f>'Headcount plan'!M11</f>
        <v>25</v>
      </c>
      <c r="M96" s="4">
        <f>'Headcount plan'!N11</f>
        <v>26</v>
      </c>
      <c r="N96" s="4">
        <f>'Headcount plan'!O11</f>
        <v>26</v>
      </c>
    </row>
    <row r="97">
      <c r="A97" s="0"/>
      <c r="B97" s="0" t="inlineStr">
        <is>
          <t xml:space="preserve">Customer success</t>
        </is>
      </c>
      <c r="C97" s="4">
        <f>'Headcount plan'!D12</f>
        <v>5</v>
      </c>
      <c r="D97" s="4">
        <f>'Headcount plan'!E12</f>
        <v>5</v>
      </c>
      <c r="E97" s="4">
        <f>'Headcount plan'!F12</f>
        <v>5</v>
      </c>
      <c r="F97" s="4">
        <f>'Headcount plan'!G12</f>
        <v>5</v>
      </c>
      <c r="G97" s="4">
        <f>'Headcount plan'!H12</f>
        <v>6</v>
      </c>
      <c r="H97" s="4">
        <f>'Headcount plan'!I12</f>
        <v>6</v>
      </c>
      <c r="I97" s="4">
        <f>'Headcount plan'!J12</f>
        <v>6</v>
      </c>
      <c r="J97" s="4">
        <f>'Headcount plan'!K12</f>
        <v>6</v>
      </c>
      <c r="K97" s="4">
        <f>'Headcount plan'!L12</f>
        <v>6</v>
      </c>
      <c r="L97" s="4">
        <f>'Headcount plan'!M12</f>
        <v>6</v>
      </c>
      <c r="M97" s="4">
        <f>'Headcount plan'!N12</f>
        <v>6</v>
      </c>
      <c r="N97" s="4">
        <f>'Headcount plan'!O12</f>
        <v>6</v>
      </c>
    </row>
    <row r="98">
      <c r="A98" s="0"/>
      <c r="B98" s="0" t="inlineStr">
        <is>
          <t xml:space="preserve">G&amp;A</t>
        </is>
      </c>
      <c r="C98" s="4">
        <f>'Headcount plan'!D13</f>
        <v>4</v>
      </c>
      <c r="D98" s="4">
        <f>'Headcount plan'!E13</f>
        <v>4</v>
      </c>
      <c r="E98" s="4">
        <f>'Headcount plan'!F13</f>
        <v>4</v>
      </c>
      <c r="F98" s="4">
        <f>'Headcount plan'!G13</f>
        <v>4</v>
      </c>
      <c r="G98" s="4">
        <f>'Headcount plan'!H13</f>
        <v>4</v>
      </c>
      <c r="H98" s="4">
        <f>'Headcount plan'!I13</f>
        <v>4</v>
      </c>
      <c r="I98" s="4">
        <f>'Headcount plan'!J13</f>
        <v>4</v>
      </c>
      <c r="J98" s="4">
        <f>'Headcount plan'!K13</f>
        <v>4</v>
      </c>
      <c r="K98" s="4">
        <f>'Headcount plan'!L13</f>
        <v>5</v>
      </c>
      <c r="L98" s="4">
        <f>'Headcount plan'!M13</f>
        <v>5</v>
      </c>
      <c r="M98" s="4">
        <f>'Headcount plan'!N13</f>
        <v>5</v>
      </c>
      <c r="N98" s="4">
        <f>'Headcount plan'!O13</f>
        <v>5</v>
      </c>
    </row>
    <row r="100">
      <c r="A100" s="1" t="inlineStr">
        <is>
          <t xml:space="preserve">US headcount by department</t>
        </is>
      </c>
    </row>
    <row r="101">
      <c r="A101" s="1" t="inlineStr">
        <is>
          <t xml:space="preserve">department</t>
        </is>
      </c>
      <c r="B101" s="1" t="inlineStr">
        <is>
          <t xml:space="preserve">Jan-26</t>
        </is>
      </c>
      <c r="C101" s="1" t="inlineStr">
        <is>
          <t xml:space="preserve">Feb-26</t>
        </is>
      </c>
      <c r="D101" s="1" t="inlineStr">
        <is>
          <t xml:space="preserve">Mar-26</t>
        </is>
      </c>
      <c r="E101" s="1" t="inlineStr">
        <is>
          <t xml:space="preserve">Apr-26</t>
        </is>
      </c>
      <c r="F101" s="1" t="inlineStr">
        <is>
          <t xml:space="preserve">May-26</t>
        </is>
      </c>
      <c r="G101" s="1" t="inlineStr">
        <is>
          <t xml:space="preserve">Jun-26</t>
        </is>
      </c>
      <c r="H101" s="1" t="inlineStr">
        <is>
          <t xml:space="preserve">Jul-26</t>
        </is>
      </c>
      <c r="I101" s="1" t="inlineStr">
        <is>
          <t xml:space="preserve">Aug-26</t>
        </is>
      </c>
      <c r="J101" s="1" t="inlineStr">
        <is>
          <t xml:space="preserve">Sep-26</t>
        </is>
      </c>
      <c r="K101" s="1" t="inlineStr">
        <is>
          <t xml:space="preserve">Oct-26</t>
        </is>
      </c>
      <c r="L101" s="1" t="inlineStr">
        <is>
          <t xml:space="preserve">Nov-26</t>
        </is>
      </c>
      <c r="M101" s="1" t="inlineStr">
        <is>
          <t xml:space="preserve">Dec-26</t>
        </is>
      </c>
    </row>
    <row r="102">
      <c r="A102" s="0" t="inlineStr">
        <is>
          <t xml:space="preserve">Sales</t>
        </is>
      </c>
      <c r="B102" s="4">
        <f>'Headcount plan'!D3</f>
        <v>22</v>
      </c>
      <c r="C102" s="4">
        <f>'Headcount plan'!E3</f>
        <v>23</v>
      </c>
      <c r="D102" s="4">
        <f>'Headcount plan'!F3</f>
        <v>23</v>
      </c>
      <c r="E102" s="4">
        <f>'Headcount plan'!G3</f>
        <v>24</v>
      </c>
      <c r="F102" s="4">
        <f>'Headcount plan'!H3</f>
        <v>24</v>
      </c>
      <c r="G102" s="4">
        <f>'Headcount plan'!I3</f>
        <v>25</v>
      </c>
      <c r="H102" s="4">
        <f>'Headcount plan'!J3</f>
        <v>25</v>
      </c>
      <c r="I102" s="4">
        <f>'Headcount plan'!K3</f>
        <v>26</v>
      </c>
      <c r="J102" s="4">
        <f>'Headcount plan'!L3</f>
        <v>29</v>
      </c>
      <c r="K102" s="4">
        <f>'Headcount plan'!M3</f>
        <v>30</v>
      </c>
      <c r="L102" s="4">
        <f>'Headcount plan'!N3</f>
        <v>30</v>
      </c>
      <c r="M102" s="4">
        <f>'Headcount plan'!O3</f>
        <v>31</v>
      </c>
    </row>
    <row r="103">
      <c r="A103" s="0" t="inlineStr">
        <is>
          <t xml:space="preserve">Marketing</t>
        </is>
      </c>
      <c r="B103" s="4">
        <f>'Headcount plan'!D4</f>
        <v>9</v>
      </c>
      <c r="C103" s="4">
        <f>'Headcount plan'!E4</f>
        <v>9</v>
      </c>
      <c r="D103" s="4">
        <f>'Headcount plan'!F4</f>
        <v>10</v>
      </c>
      <c r="E103" s="4">
        <f>'Headcount plan'!G4</f>
        <v>10</v>
      </c>
      <c r="F103" s="4">
        <f>'Headcount plan'!H4</f>
        <v>10</v>
      </c>
      <c r="G103" s="4">
        <f>'Headcount plan'!I4</f>
        <v>10</v>
      </c>
      <c r="H103" s="4">
        <f>'Headcount plan'!J4</f>
        <v>11</v>
      </c>
      <c r="I103" s="4">
        <f>'Headcount plan'!K4</f>
        <v>11</v>
      </c>
      <c r="J103" s="4">
        <f>'Headcount plan'!L4</f>
        <v>11</v>
      </c>
      <c r="K103" s="4">
        <f>'Headcount plan'!M4</f>
        <v>12</v>
      </c>
      <c r="L103" s="4">
        <f>'Headcount plan'!N4</f>
        <v>12</v>
      </c>
      <c r="M103" s="4">
        <f>'Headcount plan'!O4</f>
        <v>12</v>
      </c>
    </row>
    <row r="104">
      <c r="A104" s="0" t="inlineStr">
        <is>
          <t xml:space="preserve">Engineering</t>
        </is>
      </c>
      <c r="B104" s="4">
        <f>'Headcount plan'!D5</f>
        <v>39</v>
      </c>
      <c r="C104" s="4">
        <f>'Headcount plan'!E5</f>
        <v>40</v>
      </c>
      <c r="D104" s="4">
        <f>'Headcount plan'!F5</f>
        <v>42</v>
      </c>
      <c r="E104" s="4">
        <f>'Headcount plan'!G5</f>
        <v>43</v>
      </c>
      <c r="F104" s="4">
        <f>'Headcount plan'!H5</f>
        <v>44</v>
      </c>
      <c r="G104" s="4">
        <f>'Headcount plan'!I5</f>
        <v>46</v>
      </c>
      <c r="H104" s="4">
        <f>'Headcount plan'!J5</f>
        <v>47</v>
      </c>
      <c r="I104" s="4">
        <f>'Headcount plan'!K5</f>
        <v>48</v>
      </c>
      <c r="J104" s="4">
        <f>'Headcount plan'!L5</f>
        <v>52</v>
      </c>
      <c r="K104" s="4">
        <f>'Headcount plan'!M5</f>
        <v>53</v>
      </c>
      <c r="L104" s="4">
        <f>'Headcount plan'!N5</f>
        <v>54</v>
      </c>
      <c r="M104" s="4">
        <f>'Headcount plan'!O5</f>
        <v>55</v>
      </c>
    </row>
    <row r="105">
      <c r="A105" s="0" t="inlineStr">
        <is>
          <t xml:space="preserve">Customer success</t>
        </is>
      </c>
      <c r="B105" s="4">
        <f>'Headcount plan'!D6</f>
        <v>12</v>
      </c>
      <c r="C105" s="4">
        <f>'Headcount plan'!E6</f>
        <v>13</v>
      </c>
      <c r="D105" s="4">
        <f>'Headcount plan'!F6</f>
        <v>13</v>
      </c>
      <c r="E105" s="4">
        <f>'Headcount plan'!G6</f>
        <v>13</v>
      </c>
      <c r="F105" s="4">
        <f>'Headcount plan'!H6</f>
        <v>14</v>
      </c>
      <c r="G105" s="4">
        <f>'Headcount plan'!I6</f>
        <v>14</v>
      </c>
      <c r="H105" s="4">
        <f>'Headcount plan'!J6</f>
        <v>14</v>
      </c>
      <c r="I105" s="4">
        <f>'Headcount plan'!K6</f>
        <v>15</v>
      </c>
      <c r="J105" s="4">
        <f>'Headcount plan'!L6</f>
        <v>15</v>
      </c>
      <c r="K105" s="4">
        <f>'Headcount plan'!M6</f>
        <v>16</v>
      </c>
      <c r="L105" s="4">
        <f>'Headcount plan'!N6</f>
        <v>16</v>
      </c>
      <c r="M105" s="4">
        <f>'Headcount plan'!O6</f>
        <v>16</v>
      </c>
    </row>
    <row r="106">
      <c r="A106" s="0" t="inlineStr">
        <is>
          <t xml:space="preserve">G&amp;A</t>
        </is>
      </c>
      <c r="B106" s="4">
        <f>'Headcount plan'!D7</f>
        <v>10</v>
      </c>
      <c r="C106" s="4">
        <f>'Headcount plan'!E7</f>
        <v>10</v>
      </c>
      <c r="D106" s="4">
        <f>'Headcount plan'!F7</f>
        <v>10</v>
      </c>
      <c r="E106" s="4">
        <f>'Headcount plan'!G7</f>
        <v>11</v>
      </c>
      <c r="F106" s="4">
        <f>'Headcount plan'!H7</f>
        <v>11</v>
      </c>
      <c r="G106" s="4">
        <f>'Headcount plan'!I7</f>
        <v>11</v>
      </c>
      <c r="H106" s="4">
        <f>'Headcount plan'!J7</f>
        <v>11</v>
      </c>
      <c r="I106" s="4">
        <f>'Headcount plan'!K7</f>
        <v>11</v>
      </c>
      <c r="J106" s="4">
        <f>'Headcount plan'!L7</f>
        <v>12</v>
      </c>
      <c r="K106" s="4">
        <f>'Headcount plan'!M7</f>
        <v>12</v>
      </c>
      <c r="L106" s="4">
        <f>'Headcount plan'!N7</f>
        <v>12</v>
      </c>
      <c r="M106" s="4">
        <f>'Headcount plan'!O7</f>
        <v>12</v>
      </c>
    </row>
    <row r="125">
      <c r="A125" s="1" t="inlineStr">
        <is>
          <t xml:space="preserve">Company headcount by month</t>
        </is>
      </c>
    </row>
    <row r="126">
      <c r="A126" s="1" t="inlineStr">
        <is>
          <t xml:space="preserve">line</t>
        </is>
      </c>
      <c r="B126" s="1" t="inlineStr">
        <is>
          <t xml:space="preserve">Jan-26</t>
        </is>
      </c>
      <c r="C126" s="1" t="inlineStr">
        <is>
          <t xml:space="preserve">Feb-26</t>
        </is>
      </c>
      <c r="D126" s="1" t="inlineStr">
        <is>
          <t xml:space="preserve">Mar-26</t>
        </is>
      </c>
      <c r="E126" s="1" t="inlineStr">
        <is>
          <t xml:space="preserve">Apr-26</t>
        </is>
      </c>
      <c r="F126" s="1" t="inlineStr">
        <is>
          <t xml:space="preserve">May-26</t>
        </is>
      </c>
      <c r="G126" s="1" t="inlineStr">
        <is>
          <t xml:space="preserve">Jun-26</t>
        </is>
      </c>
      <c r="H126" s="1" t="inlineStr">
        <is>
          <t xml:space="preserve">Jul-26</t>
        </is>
      </c>
      <c r="I126" s="1" t="inlineStr">
        <is>
          <t xml:space="preserve">Aug-26</t>
        </is>
      </c>
      <c r="J126" s="1" t="inlineStr">
        <is>
          <t xml:space="preserve">Sep-26</t>
        </is>
      </c>
      <c r="K126" s="1" t="inlineStr">
        <is>
          <t xml:space="preserve">Oct-26</t>
        </is>
      </c>
      <c r="L126" s="1" t="inlineStr">
        <is>
          <t xml:space="preserve">Nov-26</t>
        </is>
      </c>
      <c r="M126" s="1" t="inlineStr">
        <is>
          <t xml:space="preserve">Dec-26</t>
        </is>
      </c>
    </row>
    <row r="127">
      <c r="A127" s="0" t="inlineStr">
        <is>
          <t xml:space="preserve">Headcount (period end)</t>
        </is>
      </c>
      <c r="B127" s="4">
        <f>'P&amp;L, company'!B14</f>
        <v>131</v>
      </c>
      <c r="C127" s="4">
        <f>'P&amp;L, company'!C14</f>
        <v>134</v>
      </c>
      <c r="D127" s="4">
        <f>'P&amp;L, company'!D14</f>
        <v>140</v>
      </c>
      <c r="E127" s="4">
        <f>'P&amp;L, company'!E14</f>
        <v>143</v>
      </c>
      <c r="F127" s="4">
        <f>'P&amp;L, company'!F14</f>
        <v>147</v>
      </c>
      <c r="G127" s="4">
        <f>'P&amp;L, company'!G14</f>
        <v>150</v>
      </c>
      <c r="H127" s="4">
        <f>'P&amp;L, company'!H14</f>
        <v>154</v>
      </c>
      <c r="I127" s="4">
        <f>'P&amp;L, company'!I14</f>
        <v>157</v>
      </c>
      <c r="J127" s="4">
        <f>'P&amp;L, company'!J14</f>
        <v>173</v>
      </c>
      <c r="K127" s="4">
        <f>'P&amp;L, company'!K14</f>
        <v>177</v>
      </c>
      <c r="L127" s="4">
        <f>'P&amp;L, company'!L14</f>
        <v>179</v>
      </c>
      <c r="M127" s="4">
        <f>'P&amp;L, company'!M14</f>
        <v>181</v>
      </c>
    </row>
    <row r="146">
      <c r="A146" s="3" t="inlineStr">
        <is>
          <t xml:space="preserve">Every cell on this sheet refers to the statement sheets; edit inputs there (blue) and this dashboard follows.</t>
        </is>
      </c>
    </row>
  </sheetData>
  <drawing r:id="rId1"/>
</worksheet>
</file>

<file path=xl/worksheets/sheet3.xml><?xml version="1.0" encoding="utf-8"?>
<worksheet xmlns="http://schemas.openxmlformats.org/spreadsheetml/2006/main" xmlns:r="http://schemas.openxmlformats.org/officeDocument/2006/relationships">
  <cols>
    <col min="1" max="1" width="34" customWidth="1"/>
    <col min="2" max="2" width="18" customWidth="1"/>
    <col min="3" max="3" width="18" customWidth="1"/>
    <col min="4" max="4" width="12" customWidth="1"/>
    <col min="5" max="5" width="12" customWidth="1"/>
    <col min="6" max="6" width="12" customWidth="1"/>
    <col min="7" max="7" width="12" customWidth="1"/>
    <col min="8" max="8" width="12" customWidth="1"/>
  </cols>
  <sheetData>
    <row r="1">
      <c r="A1" s="1" t="inlineStr">
        <is>
          <t xml:space="preserve">Forecast drivers, September to December (edit any cell)</t>
        </is>
      </c>
      <c r="B1" s="3" t="inlineStr">
        <is>
          <t xml:space="preserve">Inputs: edit the blue cells on the 'Forecast drivers' sheet; this table follows them.</t>
        </is>
      </c>
    </row>
    <row r="2">
      <c r="A2" s="1" t="inlineStr">
        <is>
          <t xml:space="preserve">line</t>
        </is>
      </c>
      <c r="B2" s="1" t="inlineStr">
        <is>
          <t xml:space="preserve">Sep-26</t>
        </is>
      </c>
      <c r="C2" s="1" t="inlineStr">
        <is>
          <t xml:space="preserve">Oct-26</t>
        </is>
      </c>
      <c r="D2" s="1" t="inlineStr">
        <is>
          <t xml:space="preserve">Nov-26</t>
        </is>
      </c>
      <c r="E2" s="1" t="inlineStr">
        <is>
          <t xml:space="preserve">Dec-26</t>
        </is>
      </c>
    </row>
    <row r="3">
      <c r="A3" s="0" t="inlineStr">
        <is>
          <t xml:space="preserve">Revenue growth per month</t>
        </is>
      </c>
      <c r="B3" s="12">
        <f>'Forecast drivers'!J2</f>
        <v>0.019</v>
      </c>
      <c r="C3" s="12">
        <f>'Forecast drivers'!K2</f>
        <v>0.019</v>
      </c>
      <c r="D3" s="12">
        <f>'Forecast drivers'!L2</f>
        <v>0.019</v>
      </c>
      <c r="E3" s="12">
        <f>'Forecast drivers'!M2</f>
        <v>0.019</v>
      </c>
    </row>
    <row r="4">
      <c r="A4" s="0" t="inlineStr">
        <is>
          <t xml:space="preserve">Hosting cost, % of revenue</t>
        </is>
      </c>
      <c r="B4" s="12">
        <f>'Forecast drivers'!J3</f>
        <v>0.118</v>
      </c>
      <c r="C4" s="12">
        <f>'Forecast drivers'!K3</f>
        <v>0.118</v>
      </c>
      <c r="D4" s="12">
        <f>'Forecast drivers'!L3</f>
        <v>0.118</v>
      </c>
      <c r="E4" s="12">
        <f>'Forecast drivers'!M3</f>
        <v>0.118</v>
      </c>
    </row>
    <row r="5">
      <c r="A5" s="0" t="inlineStr">
        <is>
          <t xml:space="preserve">Support cost, % of revenue</t>
        </is>
      </c>
      <c r="B5" s="12">
        <f>'Forecast drivers'!J4</f>
        <v>0.051</v>
      </c>
      <c r="C5" s="12">
        <f>'Forecast drivers'!K4</f>
        <v>0.051</v>
      </c>
      <c r="D5" s="12">
        <f>'Forecast drivers'!L4</f>
        <v>0.051</v>
      </c>
      <c r="E5" s="12">
        <f>'Forecast drivers'!M4</f>
        <v>0.051</v>
      </c>
    </row>
    <row r="6">
      <c r="A6" s="0" t="inlineStr">
        <is>
          <t xml:space="preserve">Benefits, % of salaries</t>
        </is>
      </c>
      <c r="B6" s="12">
        <f>'Forecast drivers'!J5</f>
        <v>0.214</v>
      </c>
      <c r="C6" s="12">
        <f>'Forecast drivers'!K5</f>
        <v>0.214</v>
      </c>
      <c r="D6" s="12">
        <f>'Forecast drivers'!L5</f>
        <v>0.214</v>
      </c>
      <c r="E6" s="12">
        <f>'Forecast drivers'!M5</f>
        <v>0.214</v>
      </c>
    </row>
    <row r="7">
      <c r="A7" s="0" t="inlineStr">
        <is>
          <t xml:space="preserve">Commissions, % of revenue</t>
        </is>
      </c>
      <c r="B7" s="12">
        <f>'Forecast drivers'!J6</f>
        <v>0.047</v>
      </c>
      <c r="C7" s="12">
        <f>'Forecast drivers'!K6</f>
        <v>0.047</v>
      </c>
      <c r="D7" s="12">
        <f>'Forecast drivers'!L6</f>
        <v>0.047</v>
      </c>
      <c r="E7" s="12">
        <f>'Forecast drivers'!M6</f>
        <v>0.047</v>
      </c>
    </row>
    <row r="8">
      <c r="A8" s="0" t="inlineStr">
        <is>
          <t xml:space="preserve">Marketing programs, % of revenue</t>
        </is>
      </c>
      <c r="B8" s="12">
        <f>'Forecast drivers'!J7</f>
        <v>0.083</v>
      </c>
      <c r="C8" s="12">
        <f>'Forecast drivers'!K7</f>
        <v>0.083</v>
      </c>
      <c r="D8" s="12">
        <f>'Forecast drivers'!L7</f>
        <v>0.083</v>
      </c>
      <c r="E8" s="12">
        <f>'Forecast drivers'!M7</f>
        <v>0.083</v>
      </c>
    </row>
    <row r="9">
      <c r="A9" s="0" t="inlineStr">
        <is>
          <t xml:space="preserve">Cloud, % of revenue</t>
        </is>
      </c>
      <c r="B9" s="12">
        <f>'Forecast drivers'!J8</f>
        <v>0.089</v>
      </c>
      <c r="C9" s="12">
        <f>'Forecast drivers'!K8</f>
        <v>0.089</v>
      </c>
      <c r="D9" s="12">
        <f>'Forecast drivers'!L8</f>
        <v>0.089</v>
      </c>
      <c r="E9" s="12">
        <f>'Forecast drivers'!M8</f>
        <v>0.089</v>
      </c>
    </row>
    <row r="10">
      <c r="A10" s="0" t="inlineStr">
        <is>
          <t xml:space="preserve">Other opex growth per month</t>
        </is>
      </c>
      <c r="B10" s="12">
        <f>'Forecast drivers'!J9</f>
        <v>0.006</v>
      </c>
      <c r="C10" s="12">
        <f>'Forecast drivers'!K9</f>
        <v>0.006</v>
      </c>
      <c r="D10" s="12">
        <f>'Forecast drivers'!L9</f>
        <v>0.006</v>
      </c>
      <c r="E10" s="12">
        <f>'Forecast drivers'!M9</f>
        <v>0.006</v>
      </c>
    </row>
    <row r="12">
      <c r="A12" s="1" t="inlineStr">
        <is>
          <t xml:space="preserve">Loaded cost per head, annual (edit any cell)</t>
        </is>
      </c>
      <c r="B12" s="3" t="inlineStr">
        <is>
          <t xml:space="preserve">Inputs: edit the blue cells on the 'Headcount plan' sheet; this table follows them.</t>
        </is>
      </c>
    </row>
    <row r="13">
      <c r="A13" s="1" t="inlineStr">
        <is>
          <t xml:space="preserve">subsidiary</t>
        </is>
      </c>
      <c r="B13" s="1" t="inlineStr">
        <is>
          <t xml:space="preserve">department</t>
        </is>
      </c>
      <c r="C13" s="1" t="inlineStr">
        <is>
          <t xml:space="preserve">Sep-26</t>
        </is>
      </c>
      <c r="D13" s="1" t="inlineStr">
        <is>
          <t xml:space="preserve">Oct-26</t>
        </is>
      </c>
      <c r="E13" s="1" t="inlineStr">
        <is>
          <t xml:space="preserve">Nov-26</t>
        </is>
      </c>
      <c r="F13" s="1" t="inlineStr">
        <is>
          <t xml:space="preserve">Dec-26</t>
        </is>
      </c>
    </row>
    <row r="14">
      <c r="A14" s="0" t="inlineStr">
        <is>
          <t xml:space="preserve">United States</t>
        </is>
      </c>
      <c r="B14" s="0" t="inlineStr">
        <is>
          <t xml:space="preserve">Sales</t>
        </is>
      </c>
      <c r="C14" s="4">
        <f>'Headcount plan'!L15</f>
        <v>165000</v>
      </c>
      <c r="D14" s="4">
        <f>'Headcount plan'!M15</f>
        <v>165000</v>
      </c>
      <c r="E14" s="4">
        <f>'Headcount plan'!N15</f>
        <v>165000</v>
      </c>
      <c r="F14" s="4">
        <f>'Headcount plan'!O15</f>
        <v>165000</v>
      </c>
    </row>
    <row r="15">
      <c r="A15" s="0"/>
      <c r="B15" s="0" t="inlineStr">
        <is>
          <t xml:space="preserve">Marketing</t>
        </is>
      </c>
      <c r="C15" s="4">
        <f>'Headcount plan'!L16</f>
        <v>140000</v>
      </c>
      <c r="D15" s="4">
        <f>'Headcount plan'!M16</f>
        <v>140000</v>
      </c>
      <c r="E15" s="4">
        <f>'Headcount plan'!N16</f>
        <v>140000</v>
      </c>
      <c r="F15" s="4">
        <f>'Headcount plan'!O16</f>
        <v>140000</v>
      </c>
    </row>
    <row r="16">
      <c r="A16" s="0"/>
      <c r="B16" s="0" t="inlineStr">
        <is>
          <t xml:space="preserve">Engineering</t>
        </is>
      </c>
      <c r="C16" s="4">
        <f>'Headcount plan'!L17</f>
        <v>190000</v>
      </c>
      <c r="D16" s="4">
        <f>'Headcount plan'!M17</f>
        <v>190000</v>
      </c>
      <c r="E16" s="4">
        <f>'Headcount plan'!N17</f>
        <v>190000</v>
      </c>
      <c r="F16" s="4">
        <f>'Headcount plan'!O17</f>
        <v>190000</v>
      </c>
    </row>
    <row r="17">
      <c r="A17" s="0"/>
      <c r="B17" s="0" t="inlineStr">
        <is>
          <t xml:space="preserve">Customer success</t>
        </is>
      </c>
      <c r="C17" s="4">
        <f>'Headcount plan'!L18</f>
        <v>110000</v>
      </c>
      <c r="D17" s="4">
        <f>'Headcount plan'!M18</f>
        <v>110000</v>
      </c>
      <c r="E17" s="4">
        <f>'Headcount plan'!N18</f>
        <v>110000</v>
      </c>
      <c r="F17" s="4">
        <f>'Headcount plan'!O18</f>
        <v>110000</v>
      </c>
    </row>
    <row r="18">
      <c r="A18" s="0"/>
      <c r="B18" s="0" t="inlineStr">
        <is>
          <t xml:space="preserve">G&amp;A</t>
        </is>
      </c>
      <c r="C18" s="4">
        <f>'Headcount plan'!L19</f>
        <v>150000</v>
      </c>
      <c r="D18" s="4">
        <f>'Headcount plan'!M19</f>
        <v>150000</v>
      </c>
      <c r="E18" s="4">
        <f>'Headcount plan'!N19</f>
        <v>150000</v>
      </c>
      <c r="F18" s="4">
        <f>'Headcount plan'!O19</f>
        <v>150000</v>
      </c>
    </row>
    <row r="19">
      <c r="A19" s="0" t="inlineStr">
        <is>
          <t xml:space="preserve">United Kingdom</t>
        </is>
      </c>
      <c r="B19" s="0" t="inlineStr">
        <is>
          <t xml:space="preserve">Sales</t>
        </is>
      </c>
      <c r="C19" s="4">
        <f>'Headcount plan'!L21</f>
        <v>140000</v>
      </c>
      <c r="D19" s="4">
        <f>'Headcount plan'!M21</f>
        <v>140000</v>
      </c>
      <c r="E19" s="4">
        <f>'Headcount plan'!N21</f>
        <v>140000</v>
      </c>
      <c r="F19" s="4">
        <f>'Headcount plan'!O21</f>
        <v>140000</v>
      </c>
    </row>
    <row r="20">
      <c r="A20" s="0"/>
      <c r="B20" s="0" t="inlineStr">
        <is>
          <t xml:space="preserve">Marketing</t>
        </is>
      </c>
      <c r="C20" s="4">
        <f>'Headcount plan'!L22</f>
        <v>119000</v>
      </c>
      <c r="D20" s="4">
        <f>'Headcount plan'!M22</f>
        <v>119000</v>
      </c>
      <c r="E20" s="4">
        <f>'Headcount plan'!N22</f>
        <v>119000</v>
      </c>
      <c r="F20" s="4">
        <f>'Headcount plan'!O22</f>
        <v>119000</v>
      </c>
    </row>
    <row r="21">
      <c r="A21" s="0"/>
      <c r="B21" s="0" t="inlineStr">
        <is>
          <t xml:space="preserve">Engineering</t>
        </is>
      </c>
      <c r="C21" s="4">
        <f>'Headcount plan'!L23</f>
        <v>162000</v>
      </c>
      <c r="D21" s="4">
        <f>'Headcount plan'!M23</f>
        <v>162000</v>
      </c>
      <c r="E21" s="4">
        <f>'Headcount plan'!N23</f>
        <v>162000</v>
      </c>
      <c r="F21" s="4">
        <f>'Headcount plan'!O23</f>
        <v>162000</v>
      </c>
    </row>
    <row r="22">
      <c r="A22" s="0"/>
      <c r="B22" s="0" t="inlineStr">
        <is>
          <t xml:space="preserve">Customer success</t>
        </is>
      </c>
      <c r="C22" s="4">
        <f>'Headcount plan'!L24</f>
        <v>94000</v>
      </c>
      <c r="D22" s="4">
        <f>'Headcount plan'!M24</f>
        <v>94000</v>
      </c>
      <c r="E22" s="4">
        <f>'Headcount plan'!N24</f>
        <v>94000</v>
      </c>
      <c r="F22" s="4">
        <f>'Headcount plan'!O24</f>
        <v>94000</v>
      </c>
    </row>
    <row r="23">
      <c r="A23" s="0"/>
      <c r="B23" s="0" t="inlineStr">
        <is>
          <t xml:space="preserve">G&amp;A</t>
        </is>
      </c>
      <c r="C23" s="4">
        <f>'Headcount plan'!L25</f>
        <v>128000</v>
      </c>
      <c r="D23" s="4">
        <f>'Headcount plan'!M25</f>
        <v>128000</v>
      </c>
      <c r="E23" s="4">
        <f>'Headcount plan'!N25</f>
        <v>128000</v>
      </c>
      <c r="F23" s="4">
        <f>'Headcount plan'!O25</f>
        <v>128000</v>
      </c>
    </row>
    <row r="25">
      <c r="A25" s="1" t="inlineStr">
        <is>
          <t xml:space="preserve">Outlook by account: last three actual months and the first two forecast months</t>
        </is>
      </c>
    </row>
    <row r="26">
      <c r="A26" s="1" t="inlineStr">
        <is>
          <t xml:space="preserve">subsidiary</t>
        </is>
      </c>
      <c r="B26" s="1" t="inlineStr">
        <is>
          <t xml:space="preserve">department</t>
        </is>
      </c>
      <c r="C26" s="1" t="inlineStr">
        <is>
          <t xml:space="preserve">line</t>
        </is>
      </c>
      <c r="D26" s="1" t="inlineStr">
        <is>
          <t xml:space="preserve">Jun-26</t>
        </is>
      </c>
      <c r="E26" s="1" t="inlineStr">
        <is>
          <t xml:space="preserve">Jul-26</t>
        </is>
      </c>
      <c r="F26" s="1" t="inlineStr">
        <is>
          <t xml:space="preserve">Aug-26</t>
        </is>
      </c>
      <c r="G26" s="1" t="inlineStr">
        <is>
          <t xml:space="preserve">Sep-26</t>
        </is>
      </c>
      <c r="H26" s="1" t="inlineStr">
        <is>
          <t xml:space="preserve">Oct-26</t>
        </is>
      </c>
    </row>
    <row r="27">
      <c r="A27" s="0" t="inlineStr">
        <is>
          <t xml:space="preserve">United States</t>
        </is>
      </c>
      <c r="B27" s="0" t="inlineStr">
        <is>
          <t xml:space="preserve">Company (revenue and cost of revenue)</t>
        </is>
      </c>
      <c r="C27" s="0" t="inlineStr">
        <is>
          <t xml:space="preserve">Revenue</t>
        </is>
      </c>
      <c r="D27" s="8">
        <f>'Outlook actuals from the ledger'!I2</f>
        <v>4725798</v>
      </c>
      <c r="E27" s="8">
        <f>'Outlook actuals from the ledger'!J2</f>
        <v>4406956</v>
      </c>
      <c r="F27" s="8">
        <f>'Outlook actuals from the ledger'!K2</f>
        <v>4544037</v>
      </c>
      <c r="G27" s="8">
        <f>'Outlook actuals from the ledger'!L2</f>
        <v>4630373.703</v>
      </c>
      <c r="H27" s="8">
        <f>'Outlook actuals from the ledger'!M2</f>
        <v>4718350.8033569995</v>
      </c>
    </row>
    <row r="28">
      <c r="A28" s="0"/>
      <c r="B28" s="0"/>
      <c r="C28" s="0" t="inlineStr">
        <is>
          <t xml:space="preserve">Cost of revenue: hosting</t>
        </is>
      </c>
      <c r="D28" s="8">
        <f>'Outlook actuals from the ledger'!I14</f>
        <v>-565452</v>
      </c>
      <c r="E28" s="8">
        <f>'Outlook actuals from the ledger'!J14</f>
        <v>-519886</v>
      </c>
      <c r="F28" s="8">
        <f>'Outlook actuals from the ledger'!K14</f>
        <v>-545435</v>
      </c>
      <c r="G28" s="8">
        <f>'Outlook actuals from the ledger'!L14</f>
        <v>-546384.096954</v>
      </c>
      <c r="H28" s="8">
        <f>'Outlook actuals from the ledger'!M14</f>
        <v>-556765.3947961259</v>
      </c>
    </row>
    <row r="29">
      <c r="A29" s="0"/>
      <c r="B29" s="0"/>
      <c r="C29" s="0" t="inlineStr">
        <is>
          <t xml:space="preserve">Cost of revenue: support</t>
        </is>
      </c>
      <c r="D29" s="8">
        <f>'Outlook actuals from the ledger'!I26</f>
        <v>-231642</v>
      </c>
      <c r="E29" s="8">
        <f>'Outlook actuals from the ledger'!J26</f>
        <v>-231061</v>
      </c>
      <c r="F29" s="8">
        <f>'Outlook actuals from the ledger'!K26</f>
        <v>-242311</v>
      </c>
      <c r="G29" s="8">
        <f>'Outlook actuals from the ledger'!L26</f>
        <v>-236149.05885299997</v>
      </c>
      <c r="H29" s="8">
        <f>'Outlook actuals from the ledger'!M26</f>
        <v>-240635.89097120697</v>
      </c>
    </row>
    <row r="30">
      <c r="A30" s="0"/>
      <c r="B30" s="0"/>
      <c r="C30" s="0" t="inlineStr">
        <is>
          <t xml:space="preserve">Salaries</t>
        </is>
      </c>
      <c r="D30" s="4">
        <f>'Outlook actuals from the ledger'!I38</f>
        <v>0</v>
      </c>
      <c r="E30" s="4">
        <f>'Outlook actuals from the ledger'!J38</f>
        <v>0</v>
      </c>
      <c r="F30" s="4">
        <f>'Outlook actuals from the ledger'!K38</f>
        <v>0</v>
      </c>
      <c r="G30" s="4">
        <f>'Outlook actuals from the ledger'!L38</f>
        <v>0</v>
      </c>
      <c r="H30" s="4">
        <f>'Outlook actuals from the ledger'!M38</f>
        <v>0</v>
      </c>
    </row>
    <row r="31">
      <c r="A31" s="0"/>
      <c r="B31" s="0"/>
      <c r="C31" s="0" t="inlineStr">
        <is>
          <t xml:space="preserve">Benefits and payroll taxes</t>
        </is>
      </c>
      <c r="D31" s="4">
        <f>'Outlook actuals from the ledger'!I50</f>
        <v>0</v>
      </c>
      <c r="E31" s="4">
        <f>'Outlook actuals from the ledger'!J50</f>
        <v>0</v>
      </c>
      <c r="F31" s="4">
        <f>'Outlook actuals from the ledger'!K50</f>
        <v>0</v>
      </c>
      <c r="G31" s="4">
        <f>'Outlook actuals from the ledger'!L50</f>
        <v>0</v>
      </c>
      <c r="H31" s="4">
        <f>'Outlook actuals from the ledger'!M50</f>
        <v>0</v>
      </c>
    </row>
    <row r="32">
      <c r="A32" s="0"/>
      <c r="B32" s="0"/>
      <c r="C32" s="0" t="inlineStr">
        <is>
          <t xml:space="preserve">Commissions</t>
        </is>
      </c>
      <c r="D32" s="4">
        <f>'Outlook actuals from the ledger'!I62</f>
        <v>0</v>
      </c>
      <c r="E32" s="4">
        <f>'Outlook actuals from the ledger'!J62</f>
        <v>0</v>
      </c>
      <c r="F32" s="4">
        <f>'Outlook actuals from the ledger'!K62</f>
        <v>0</v>
      </c>
      <c r="G32" s="4">
        <f>'Outlook actuals from the ledger'!L62</f>
        <v>0</v>
      </c>
      <c r="H32" s="4">
        <f>'Outlook actuals from the ledger'!M62</f>
        <v>0</v>
      </c>
    </row>
    <row r="33">
      <c r="A33" s="0"/>
      <c r="B33" s="0"/>
      <c r="C33" s="0" t="inlineStr">
        <is>
          <t xml:space="preserve">Contractors</t>
        </is>
      </c>
      <c r="D33" s="4">
        <f>'Outlook actuals from the ledger'!I74</f>
        <v>0</v>
      </c>
      <c r="E33" s="4">
        <f>'Outlook actuals from the ledger'!J74</f>
        <v>0</v>
      </c>
      <c r="F33" s="4">
        <f>'Outlook actuals from the ledger'!K74</f>
        <v>0</v>
      </c>
      <c r="G33" s="4">
        <f>'Outlook actuals from the ledger'!L74</f>
        <v>0</v>
      </c>
      <c r="H33" s="4">
        <f>'Outlook actuals from the ledger'!M74</f>
        <v>0</v>
      </c>
    </row>
    <row r="34">
      <c r="A34" s="0"/>
      <c r="B34" s="0"/>
      <c r="C34" s="0" t="inlineStr">
        <is>
          <t xml:space="preserve">Cloud and infrastructure</t>
        </is>
      </c>
      <c r="D34" s="4">
        <f>'Outlook actuals from the ledger'!I86</f>
        <v>0</v>
      </c>
      <c r="E34" s="4">
        <f>'Outlook actuals from the ledger'!J86</f>
        <v>0</v>
      </c>
      <c r="F34" s="4">
        <f>'Outlook actuals from the ledger'!K86</f>
        <v>0</v>
      </c>
      <c r="G34" s="4">
        <f>'Outlook actuals from the ledger'!L86</f>
        <v>0</v>
      </c>
      <c r="H34" s="4">
        <f>'Outlook actuals from the ledger'!M86</f>
        <v>0</v>
      </c>
    </row>
    <row r="35">
      <c r="A35" s="0"/>
      <c r="B35" s="0"/>
      <c r="C35" s="0" t="inlineStr">
        <is>
          <t xml:space="preserve">Marketing programs</t>
        </is>
      </c>
      <c r="D35" s="4">
        <f>'Outlook actuals from the ledger'!I98</f>
        <v>0</v>
      </c>
      <c r="E35" s="4">
        <f>'Outlook actuals from the ledger'!J98</f>
        <v>0</v>
      </c>
      <c r="F35" s="4">
        <f>'Outlook actuals from the ledger'!K98</f>
        <v>0</v>
      </c>
      <c r="G35" s="4">
        <f>'Outlook actuals from the ledger'!L98</f>
        <v>0</v>
      </c>
      <c r="H35" s="4">
        <f>'Outlook actuals from the ledger'!M98</f>
        <v>0</v>
      </c>
    </row>
    <row r="36">
      <c r="A36" s="0"/>
      <c r="B36" s="0"/>
      <c r="C36" s="0" t="inlineStr">
        <is>
          <t xml:space="preserve">Software and tools</t>
        </is>
      </c>
      <c r="D36" s="4">
        <f>'Outlook actuals from the ledger'!I110</f>
        <v>0</v>
      </c>
      <c r="E36" s="4">
        <f>'Outlook actuals from the ledger'!J110</f>
        <v>0</v>
      </c>
      <c r="F36" s="4">
        <f>'Outlook actuals from the ledger'!K110</f>
        <v>0</v>
      </c>
      <c r="G36" s="4">
        <f>'Outlook actuals from the ledger'!L110</f>
        <v>0</v>
      </c>
      <c r="H36" s="4">
        <f>'Outlook actuals from the ledger'!M110</f>
        <v>0</v>
      </c>
    </row>
    <row r="37">
      <c r="A37" s="0"/>
      <c r="B37" s="0"/>
      <c r="C37" s="0" t="inlineStr">
        <is>
          <t xml:space="preserve">Travel and events</t>
        </is>
      </c>
      <c r="D37" s="4">
        <f>'Outlook actuals from the ledger'!I122</f>
        <v>0</v>
      </c>
      <c r="E37" s="4">
        <f>'Outlook actuals from the ledger'!J122</f>
        <v>0</v>
      </c>
      <c r="F37" s="4">
        <f>'Outlook actuals from the ledger'!K122</f>
        <v>0</v>
      </c>
      <c r="G37" s="4">
        <f>'Outlook actuals from the ledger'!L122</f>
        <v>0</v>
      </c>
      <c r="H37" s="4">
        <f>'Outlook actuals from the ledger'!M122</f>
        <v>0</v>
      </c>
    </row>
    <row r="38">
      <c r="A38" s="0"/>
      <c r="B38" s="0"/>
      <c r="C38" s="0" t="inlineStr">
        <is>
          <t xml:space="preserve">Rent and facilities</t>
        </is>
      </c>
      <c r="D38" s="4">
        <f>'Outlook actuals from the ledger'!I134</f>
        <v>0</v>
      </c>
      <c r="E38" s="4">
        <f>'Outlook actuals from the ledger'!J134</f>
        <v>0</v>
      </c>
      <c r="F38" s="4">
        <f>'Outlook actuals from the ledger'!K134</f>
        <v>0</v>
      </c>
      <c r="G38" s="4">
        <f>'Outlook actuals from the ledger'!L134</f>
        <v>0</v>
      </c>
      <c r="H38" s="4">
        <f>'Outlook actuals from the ledger'!M134</f>
        <v>0</v>
      </c>
    </row>
    <row r="39">
      <c r="A39" s="0"/>
      <c r="B39" s="0"/>
      <c r="C39" s="0" t="inlineStr">
        <is>
          <t xml:space="preserve">Professional fees</t>
        </is>
      </c>
      <c r="D39" s="4">
        <f>'Outlook actuals from the ledger'!I146</f>
        <v>0</v>
      </c>
      <c r="E39" s="4">
        <f>'Outlook actuals from the ledger'!J146</f>
        <v>0</v>
      </c>
      <c r="F39" s="4">
        <f>'Outlook actuals from the ledger'!K146</f>
        <v>0</v>
      </c>
      <c r="G39" s="4">
        <f>'Outlook actuals from the ledger'!L146</f>
        <v>0</v>
      </c>
      <c r="H39" s="4">
        <f>'Outlook actuals from the ledger'!M146</f>
        <v>0</v>
      </c>
    </row>
    <row r="40">
      <c r="A40" s="0"/>
      <c r="B40" s="0"/>
      <c r="C40" s="0" t="inlineStr">
        <is>
          <t xml:space="preserve">Net</t>
        </is>
      </c>
      <c r="D40" s="8">
        <f>'Outlook actuals from the ledger'!I158</f>
        <v>3928704</v>
      </c>
      <c r="E40" s="8">
        <f>'Outlook actuals from the ledger'!J158</f>
        <v>3656009</v>
      </c>
      <c r="F40" s="8">
        <f>'Outlook actuals from the ledger'!K158</f>
        <v>3756291</v>
      </c>
      <c r="G40" s="8">
        <f>'Outlook actuals from the ledger'!L158</f>
        <v>3847840.5471929996</v>
      </c>
      <c r="H40" s="8">
        <f>'Outlook actuals from the ledger'!M158</f>
        <v>3920949.5175896664</v>
      </c>
    </row>
    <row r="41">
      <c r="A41" s="0"/>
      <c r="B41" s="0" t="inlineStr">
        <is>
          <t xml:space="preserve">Sales</t>
        </is>
      </c>
      <c r="C41" s="0" t="inlineStr">
        <is>
          <t xml:space="preserve">Revenue</t>
        </is>
      </c>
      <c r="D41" s="4">
        <f>'Outlook actuals from the ledger'!I3</f>
        <v>0</v>
      </c>
      <c r="E41" s="4">
        <f>'Outlook actuals from the ledger'!J3</f>
        <v>0</v>
      </c>
      <c r="F41" s="4">
        <f>'Outlook actuals from the ledger'!K3</f>
        <v>0</v>
      </c>
      <c r="G41" s="4">
        <f>'Outlook actuals from the ledger'!L3</f>
        <v>0</v>
      </c>
      <c r="H41" s="4">
        <f>'Outlook actuals from the ledger'!M3</f>
        <v>0</v>
      </c>
    </row>
    <row r="42">
      <c r="A42" s="0"/>
      <c r="B42" s="0"/>
      <c r="C42" s="0" t="inlineStr">
        <is>
          <t xml:space="preserve">Cost of revenue: hosting</t>
        </is>
      </c>
      <c r="D42" s="4">
        <f>'Outlook actuals from the ledger'!I15</f>
        <v>0</v>
      </c>
      <c r="E42" s="4">
        <f>'Outlook actuals from the ledger'!J15</f>
        <v>0</v>
      </c>
      <c r="F42" s="4">
        <f>'Outlook actuals from the ledger'!K15</f>
        <v>0</v>
      </c>
      <c r="G42" s="4">
        <f>'Outlook actuals from the ledger'!L15</f>
        <v>0</v>
      </c>
      <c r="H42" s="4">
        <f>'Outlook actuals from the ledger'!M15</f>
        <v>0</v>
      </c>
    </row>
    <row r="43">
      <c r="A43" s="0"/>
      <c r="B43" s="0"/>
      <c r="C43" s="0" t="inlineStr">
        <is>
          <t xml:space="preserve">Cost of revenue: support</t>
        </is>
      </c>
      <c r="D43" s="4">
        <f>'Outlook actuals from the ledger'!I27</f>
        <v>0</v>
      </c>
      <c r="E43" s="4">
        <f>'Outlook actuals from the ledger'!J27</f>
        <v>0</v>
      </c>
      <c r="F43" s="4">
        <f>'Outlook actuals from the ledger'!K27</f>
        <v>0</v>
      </c>
      <c r="G43" s="4">
        <f>'Outlook actuals from the ledger'!L27</f>
        <v>0</v>
      </c>
      <c r="H43" s="4">
        <f>'Outlook actuals from the ledger'!M27</f>
        <v>0</v>
      </c>
    </row>
    <row r="44">
      <c r="A44" s="0"/>
      <c r="B44" s="0"/>
      <c r="C44" s="0" t="inlineStr">
        <is>
          <t xml:space="preserve">Salaries</t>
        </is>
      </c>
      <c r="D44" s="4">
        <f>'Outlook actuals from the ledger'!I39</f>
        <v>-359403</v>
      </c>
      <c r="E44" s="4">
        <f>'Outlook actuals from the ledger'!J39</f>
        <v>-360709</v>
      </c>
      <c r="F44" s="4">
        <f>'Outlook actuals from the ledger'!K39</f>
        <v>-359877</v>
      </c>
      <c r="G44" s="4">
        <f>'Outlook actuals from the ledger'!L39</f>
        <v>-398750</v>
      </c>
      <c r="H44" s="4">
        <f>'Outlook actuals from the ledger'!M39</f>
        <v>-412500</v>
      </c>
    </row>
    <row r="45">
      <c r="A45" s="0"/>
      <c r="B45" s="0"/>
      <c r="C45" s="0" t="inlineStr">
        <is>
          <t xml:space="preserve">Benefits and payroll taxes</t>
        </is>
      </c>
      <c r="D45" s="8">
        <f>'Outlook actuals from the ledger'!I51</f>
        <v>-69735</v>
      </c>
      <c r="E45" s="8">
        <f>'Outlook actuals from the ledger'!J51</f>
        <v>-68580</v>
      </c>
      <c r="F45" s="8">
        <f>'Outlook actuals from the ledger'!K51</f>
        <v>-75337</v>
      </c>
      <c r="G45" s="8">
        <f>'Outlook actuals from the ledger'!L51</f>
        <v>-85332.5</v>
      </c>
      <c r="H45" s="8">
        <f>'Outlook actuals from the ledger'!M51</f>
        <v>-88275</v>
      </c>
    </row>
    <row r="46">
      <c r="A46" s="0"/>
      <c r="B46" s="0"/>
      <c r="C46" s="0" t="inlineStr">
        <is>
          <t xml:space="preserve">Commissions</t>
        </is>
      </c>
      <c r="D46" s="8">
        <f>'Outlook actuals from the ledger'!I63</f>
        <v>-216081</v>
      </c>
      <c r="E46" s="8">
        <f>'Outlook actuals from the ledger'!J63</f>
        <v>-210832</v>
      </c>
      <c r="F46" s="8">
        <f>'Outlook actuals from the ledger'!K63</f>
        <v>-200551</v>
      </c>
      <c r="G46" s="8">
        <f>'Outlook actuals from the ledger'!L63</f>
        <v>-217627.56404099998</v>
      </c>
      <c r="H46" s="8">
        <f>'Outlook actuals from the ledger'!M63</f>
        <v>-221762.487757779</v>
      </c>
    </row>
    <row r="47">
      <c r="A47" s="0"/>
      <c r="B47" s="0"/>
      <c r="C47" s="0" t="inlineStr">
        <is>
          <t xml:space="preserve">Contractors</t>
        </is>
      </c>
      <c r="D47" s="4">
        <f>'Outlook actuals from the ledger'!I75</f>
        <v>0</v>
      </c>
      <c r="E47" s="4">
        <f>'Outlook actuals from the ledger'!J75</f>
        <v>0</v>
      </c>
      <c r="F47" s="4">
        <f>'Outlook actuals from the ledger'!K75</f>
        <v>0</v>
      </c>
      <c r="G47" s="4">
        <f>'Outlook actuals from the ledger'!L75</f>
        <v>0</v>
      </c>
      <c r="H47" s="4">
        <f>'Outlook actuals from the ledger'!M75</f>
        <v>0</v>
      </c>
    </row>
    <row r="48">
      <c r="A48" s="0"/>
      <c r="B48" s="0"/>
      <c r="C48" s="0" t="inlineStr">
        <is>
          <t xml:space="preserve">Cloud and infrastructure</t>
        </is>
      </c>
      <c r="D48" s="4">
        <f>'Outlook actuals from the ledger'!I87</f>
        <v>0</v>
      </c>
      <c r="E48" s="4">
        <f>'Outlook actuals from the ledger'!J87</f>
        <v>0</v>
      </c>
      <c r="F48" s="4">
        <f>'Outlook actuals from the ledger'!K87</f>
        <v>0</v>
      </c>
      <c r="G48" s="4">
        <f>'Outlook actuals from the ledger'!L87</f>
        <v>0</v>
      </c>
      <c r="H48" s="4">
        <f>'Outlook actuals from the ledger'!M87</f>
        <v>0</v>
      </c>
    </row>
    <row r="49">
      <c r="A49" s="0"/>
      <c r="B49" s="0"/>
      <c r="C49" s="0" t="inlineStr">
        <is>
          <t xml:space="preserve">Marketing programs</t>
        </is>
      </c>
      <c r="D49" s="4">
        <f>'Outlook actuals from the ledger'!I99</f>
        <v>0</v>
      </c>
      <c r="E49" s="4">
        <f>'Outlook actuals from the ledger'!J99</f>
        <v>0</v>
      </c>
      <c r="F49" s="4">
        <f>'Outlook actuals from the ledger'!K99</f>
        <v>0</v>
      </c>
      <c r="G49" s="4">
        <f>'Outlook actuals from the ledger'!L99</f>
        <v>0</v>
      </c>
      <c r="H49" s="4">
        <f>'Outlook actuals from the ledger'!M99</f>
        <v>0</v>
      </c>
    </row>
    <row r="50">
      <c r="A50" s="0"/>
      <c r="B50" s="0"/>
      <c r="C50" s="0" t="inlineStr">
        <is>
          <t xml:space="preserve">Software and tools</t>
        </is>
      </c>
      <c r="D50" s="8">
        <f>'Outlook actuals from the ledger'!I111</f>
        <v>-9511</v>
      </c>
      <c r="E50" s="8">
        <f>'Outlook actuals from the ledger'!J111</f>
        <v>-8630</v>
      </c>
      <c r="F50" s="8">
        <f>'Outlook actuals from the ledger'!K111</f>
        <v>-9093</v>
      </c>
      <c r="G50" s="8">
        <f>'Outlook actuals from the ledger'!L111</f>
        <v>-9147.558</v>
      </c>
      <c r="H50" s="8">
        <f>'Outlook actuals from the ledger'!M111</f>
        <v>-9202.443348</v>
      </c>
    </row>
    <row r="51">
      <c r="A51" s="0"/>
      <c r="B51" s="0"/>
      <c r="C51" s="0" t="inlineStr">
        <is>
          <t xml:space="preserve">Travel and events</t>
        </is>
      </c>
      <c r="D51" s="8">
        <f>'Outlook actuals from the ledger'!I123</f>
        <v>-38349</v>
      </c>
      <c r="E51" s="8">
        <f>'Outlook actuals from the ledger'!J123</f>
        <v>-40348</v>
      </c>
      <c r="F51" s="8">
        <f>'Outlook actuals from the ledger'!K123</f>
        <v>-38613</v>
      </c>
      <c r="G51" s="8">
        <f>'Outlook actuals from the ledger'!L123</f>
        <v>-38844.678</v>
      </c>
      <c r="H51" s="8">
        <f>'Outlook actuals from the ledger'!M123</f>
        <v>-39077.746068</v>
      </c>
    </row>
    <row r="52">
      <c r="A52" s="0"/>
      <c r="B52" s="0"/>
      <c r="C52" s="0" t="inlineStr">
        <is>
          <t xml:space="preserve">Rent and facilities</t>
        </is>
      </c>
      <c r="D52" s="4">
        <f>'Outlook actuals from the ledger'!I135</f>
        <v>0</v>
      </c>
      <c r="E52" s="4">
        <f>'Outlook actuals from the ledger'!J135</f>
        <v>0</v>
      </c>
      <c r="F52" s="4">
        <f>'Outlook actuals from the ledger'!K135</f>
        <v>0</v>
      </c>
      <c r="G52" s="4">
        <f>'Outlook actuals from the ledger'!L135</f>
        <v>0</v>
      </c>
      <c r="H52" s="4">
        <f>'Outlook actuals from the ledger'!M135</f>
        <v>0</v>
      </c>
    </row>
    <row r="53">
      <c r="A53" s="0"/>
      <c r="B53" s="0"/>
      <c r="C53" s="0" t="inlineStr">
        <is>
          <t xml:space="preserve">Professional fees</t>
        </is>
      </c>
      <c r="D53" s="4">
        <f>'Outlook actuals from the ledger'!I147</f>
        <v>0</v>
      </c>
      <c r="E53" s="4">
        <f>'Outlook actuals from the ledger'!J147</f>
        <v>0</v>
      </c>
      <c r="F53" s="4">
        <f>'Outlook actuals from the ledger'!K147</f>
        <v>0</v>
      </c>
      <c r="G53" s="4">
        <f>'Outlook actuals from the ledger'!L147</f>
        <v>0</v>
      </c>
      <c r="H53" s="4">
        <f>'Outlook actuals from the ledger'!M147</f>
        <v>0</v>
      </c>
    </row>
    <row r="54">
      <c r="A54" s="0"/>
      <c r="B54" s="0"/>
      <c r="C54" s="0" t="inlineStr">
        <is>
          <t xml:space="preserve">Net</t>
        </is>
      </c>
      <c r="D54" s="8">
        <f>'Outlook actuals from the ledger'!I159</f>
        <v>-693079</v>
      </c>
      <c r="E54" s="8">
        <f>'Outlook actuals from the ledger'!J159</f>
        <v>-689099</v>
      </c>
      <c r="F54" s="8">
        <f>'Outlook actuals from the ledger'!K159</f>
        <v>-683471</v>
      </c>
      <c r="G54" s="8">
        <f>'Outlook actuals from the ledger'!L159</f>
        <v>-749702.3000409999</v>
      </c>
      <c r="H54" s="8">
        <f>'Outlook actuals from the ledger'!M159</f>
        <v>-770817.677173779</v>
      </c>
    </row>
    <row r="55">
      <c r="A55" s="0"/>
      <c r="B55" s="0" t="inlineStr">
        <is>
          <t xml:space="preserve">Marketing</t>
        </is>
      </c>
      <c r="C55" s="0" t="inlineStr">
        <is>
          <t xml:space="preserve">Revenue</t>
        </is>
      </c>
      <c r="D55" s="4">
        <f>'Outlook actuals from the ledger'!I4</f>
        <v>0</v>
      </c>
      <c r="E55" s="4">
        <f>'Outlook actuals from the ledger'!J4</f>
        <v>0</v>
      </c>
      <c r="F55" s="4">
        <f>'Outlook actuals from the ledger'!K4</f>
        <v>0</v>
      </c>
      <c r="G55" s="4">
        <f>'Outlook actuals from the ledger'!L4</f>
        <v>0</v>
      </c>
      <c r="H55" s="4">
        <f>'Outlook actuals from the ledger'!M4</f>
        <v>0</v>
      </c>
    </row>
    <row r="56">
      <c r="A56" s="0"/>
      <c r="B56" s="0"/>
      <c r="C56" s="0" t="inlineStr">
        <is>
          <t xml:space="preserve">Cost of revenue: hosting</t>
        </is>
      </c>
      <c r="D56" s="4">
        <f>'Outlook actuals from the ledger'!I16</f>
        <v>0</v>
      </c>
      <c r="E56" s="4">
        <f>'Outlook actuals from the ledger'!J16</f>
        <v>0</v>
      </c>
      <c r="F56" s="4">
        <f>'Outlook actuals from the ledger'!K16</f>
        <v>0</v>
      </c>
      <c r="G56" s="4">
        <f>'Outlook actuals from the ledger'!L16</f>
        <v>0</v>
      </c>
      <c r="H56" s="4">
        <f>'Outlook actuals from the ledger'!M16</f>
        <v>0</v>
      </c>
    </row>
    <row r="57">
      <c r="A57" s="0"/>
      <c r="B57" s="0"/>
      <c r="C57" s="0" t="inlineStr">
        <is>
          <t xml:space="preserve">Cost of revenue: support</t>
        </is>
      </c>
      <c r="D57" s="4">
        <f>'Outlook actuals from the ledger'!I28</f>
        <v>0</v>
      </c>
      <c r="E57" s="4">
        <f>'Outlook actuals from the ledger'!J28</f>
        <v>0</v>
      </c>
      <c r="F57" s="4">
        <f>'Outlook actuals from the ledger'!K28</f>
        <v>0</v>
      </c>
      <c r="G57" s="4">
        <f>'Outlook actuals from the ledger'!L28</f>
        <v>0</v>
      </c>
      <c r="H57" s="4">
        <f>'Outlook actuals from the ledger'!M28</f>
        <v>0</v>
      </c>
    </row>
    <row r="58">
      <c r="A58" s="0"/>
      <c r="B58" s="0"/>
      <c r="C58" s="0" t="inlineStr">
        <is>
          <t xml:space="preserve">Salaries</t>
        </is>
      </c>
      <c r="D58" s="8">
        <f>'Outlook actuals from the ledger'!I40</f>
        <v>-119301</v>
      </c>
      <c r="E58" s="8">
        <f>'Outlook actuals from the ledger'!J40</f>
        <v>-115211</v>
      </c>
      <c r="F58" s="8">
        <f>'Outlook actuals from the ledger'!K40</f>
        <v>-124744</v>
      </c>
      <c r="G58" s="8">
        <f>'Outlook actuals from the ledger'!L40</f>
        <v>-128333.33333333333</v>
      </c>
      <c r="H58" s="8">
        <f>'Outlook actuals from the ledger'!M40</f>
        <v>-140000</v>
      </c>
    </row>
    <row r="59">
      <c r="A59" s="0"/>
      <c r="B59" s="0"/>
      <c r="C59" s="0" t="inlineStr">
        <is>
          <t xml:space="preserve">Benefits and payroll taxes</t>
        </is>
      </c>
      <c r="D59" s="8">
        <f>'Outlook actuals from the ledger'!I52</f>
        <v>-26927</v>
      </c>
      <c r="E59" s="8">
        <f>'Outlook actuals from the ledger'!J52</f>
        <v>-27433</v>
      </c>
      <c r="F59" s="8">
        <f>'Outlook actuals from the ledger'!K52</f>
        <v>-27222</v>
      </c>
      <c r="G59" s="8">
        <f>'Outlook actuals from the ledger'!L52</f>
        <v>-27463.333333333332</v>
      </c>
      <c r="H59" s="8">
        <f>'Outlook actuals from the ledger'!M52</f>
        <v>-29960</v>
      </c>
    </row>
    <row r="60">
      <c r="A60" s="0"/>
      <c r="B60" s="0"/>
      <c r="C60" s="0" t="inlineStr">
        <is>
          <t xml:space="preserve">Commissions</t>
        </is>
      </c>
      <c r="D60" s="4">
        <f>'Outlook actuals from the ledger'!I64</f>
        <v>0</v>
      </c>
      <c r="E60" s="4">
        <f>'Outlook actuals from the ledger'!J64</f>
        <v>0</v>
      </c>
      <c r="F60" s="4">
        <f>'Outlook actuals from the ledger'!K64</f>
        <v>0</v>
      </c>
      <c r="G60" s="4">
        <f>'Outlook actuals from the ledger'!L64</f>
        <v>0</v>
      </c>
      <c r="H60" s="4">
        <f>'Outlook actuals from the ledger'!M64</f>
        <v>0</v>
      </c>
    </row>
    <row r="61">
      <c r="A61" s="0"/>
      <c r="B61" s="0"/>
      <c r="C61" s="0" t="inlineStr">
        <is>
          <t xml:space="preserve">Contractors</t>
        </is>
      </c>
      <c r="D61" s="4">
        <f>'Outlook actuals from the ledger'!I76</f>
        <v>0</v>
      </c>
      <c r="E61" s="4">
        <f>'Outlook actuals from the ledger'!J76</f>
        <v>0</v>
      </c>
      <c r="F61" s="4">
        <f>'Outlook actuals from the ledger'!K76</f>
        <v>0</v>
      </c>
      <c r="G61" s="4">
        <f>'Outlook actuals from the ledger'!L76</f>
        <v>0</v>
      </c>
      <c r="H61" s="4">
        <f>'Outlook actuals from the ledger'!M76</f>
        <v>0</v>
      </c>
    </row>
    <row r="62">
      <c r="A62" s="0"/>
      <c r="B62" s="0"/>
      <c r="C62" s="0" t="inlineStr">
        <is>
          <t xml:space="preserve">Cloud and infrastructure</t>
        </is>
      </c>
      <c r="D62" s="4">
        <f>'Outlook actuals from the ledger'!I88</f>
        <v>0</v>
      </c>
      <c r="E62" s="4">
        <f>'Outlook actuals from the ledger'!J88</f>
        <v>0</v>
      </c>
      <c r="F62" s="4">
        <f>'Outlook actuals from the ledger'!K88</f>
        <v>0</v>
      </c>
      <c r="G62" s="4">
        <f>'Outlook actuals from the ledger'!L88</f>
        <v>0</v>
      </c>
      <c r="H62" s="4">
        <f>'Outlook actuals from the ledger'!M88</f>
        <v>0</v>
      </c>
    </row>
    <row r="63">
      <c r="A63" s="0"/>
      <c r="B63" s="0"/>
      <c r="C63" s="0" t="inlineStr">
        <is>
          <t xml:space="preserve">Marketing programs</t>
        </is>
      </c>
      <c r="D63" s="8">
        <f>'Outlook actuals from the ledger'!I100</f>
        <v>-380672</v>
      </c>
      <c r="E63" s="8">
        <f>'Outlook actuals from the ledger'!J100</f>
        <v>-381495</v>
      </c>
      <c r="F63" s="8">
        <f>'Outlook actuals from the ledger'!K100</f>
        <v>-346268</v>
      </c>
      <c r="G63" s="8">
        <f>'Outlook actuals from the ledger'!L100</f>
        <v>-384321.017349</v>
      </c>
      <c r="H63" s="8">
        <f>'Outlook actuals from the ledger'!M100</f>
        <v>-391623.116678631</v>
      </c>
    </row>
    <row r="64">
      <c r="A64" s="0"/>
      <c r="B64" s="0"/>
      <c r="C64" s="0" t="inlineStr">
        <is>
          <t xml:space="preserve">Software and tools</t>
        </is>
      </c>
      <c r="D64" s="8">
        <f>'Outlook actuals from the ledger'!I112</f>
        <v>-13782</v>
      </c>
      <c r="E64" s="8">
        <f>'Outlook actuals from the ledger'!J112</f>
        <v>-14598</v>
      </c>
      <c r="F64" s="8">
        <f>'Outlook actuals from the ledger'!K112</f>
        <v>-13303</v>
      </c>
      <c r="G64" s="8">
        <f>'Outlook actuals from the ledger'!L112</f>
        <v>-13382.818</v>
      </c>
      <c r="H64" s="8">
        <f>'Outlook actuals from the ledger'!M112</f>
        <v>-13463.114908</v>
      </c>
    </row>
    <row r="65">
      <c r="A65" s="0"/>
      <c r="B65" s="0"/>
      <c r="C65" s="0" t="inlineStr">
        <is>
          <t xml:space="preserve">Travel and events</t>
        </is>
      </c>
      <c r="D65" s="8">
        <f>'Outlook actuals from the ledger'!I124</f>
        <v>-12636</v>
      </c>
      <c r="E65" s="8">
        <f>'Outlook actuals from the ledger'!J124</f>
        <v>-11908</v>
      </c>
      <c r="F65" s="8">
        <f>'Outlook actuals from the ledger'!K124</f>
        <v>-11756</v>
      </c>
      <c r="G65" s="8">
        <f>'Outlook actuals from the ledger'!L124</f>
        <v>-11826.536</v>
      </c>
      <c r="H65" s="8">
        <f>'Outlook actuals from the ledger'!M124</f>
        <v>-11897.495216</v>
      </c>
    </row>
    <row r="66">
      <c r="A66" s="0"/>
      <c r="B66" s="0"/>
      <c r="C66" s="0" t="inlineStr">
        <is>
          <t xml:space="preserve">Rent and facilities</t>
        </is>
      </c>
      <c r="D66" s="4">
        <f>'Outlook actuals from the ledger'!I136</f>
        <v>0</v>
      </c>
      <c r="E66" s="4">
        <f>'Outlook actuals from the ledger'!J136</f>
        <v>0</v>
      </c>
      <c r="F66" s="4">
        <f>'Outlook actuals from the ledger'!K136</f>
        <v>0</v>
      </c>
      <c r="G66" s="4">
        <f>'Outlook actuals from the ledger'!L136</f>
        <v>0</v>
      </c>
      <c r="H66" s="4">
        <f>'Outlook actuals from the ledger'!M136</f>
        <v>0</v>
      </c>
    </row>
    <row r="67">
      <c r="A67" s="0"/>
      <c r="B67" s="0"/>
      <c r="C67" s="0" t="inlineStr">
        <is>
          <t xml:space="preserve">Professional fees</t>
        </is>
      </c>
      <c r="D67" s="4">
        <f>'Outlook actuals from the ledger'!I148</f>
        <v>0</v>
      </c>
      <c r="E67" s="4">
        <f>'Outlook actuals from the ledger'!J148</f>
        <v>0</v>
      </c>
      <c r="F67" s="4">
        <f>'Outlook actuals from the ledger'!K148</f>
        <v>0</v>
      </c>
      <c r="G67" s="4">
        <f>'Outlook actuals from the ledger'!L148</f>
        <v>0</v>
      </c>
      <c r="H67" s="4">
        <f>'Outlook actuals from the ledger'!M148</f>
        <v>0</v>
      </c>
    </row>
    <row r="68">
      <c r="A68" s="0"/>
      <c r="B68" s="0"/>
      <c r="C68" s="0" t="inlineStr">
        <is>
          <t xml:space="preserve">Net</t>
        </is>
      </c>
      <c r="D68" s="8">
        <f>'Outlook actuals from the ledger'!I160</f>
        <v>-553318</v>
      </c>
      <c r="E68" s="8">
        <f>'Outlook actuals from the ledger'!J160</f>
        <v>-550645</v>
      </c>
      <c r="F68" s="8">
        <f>'Outlook actuals from the ledger'!K160</f>
        <v>-523293</v>
      </c>
      <c r="G68" s="8">
        <f>'Outlook actuals from the ledger'!L160</f>
        <v>-565327.0380156665</v>
      </c>
      <c r="H68" s="8">
        <f>'Outlook actuals from the ledger'!M160</f>
        <v>-586943.7268026309</v>
      </c>
    </row>
    <row r="69">
      <c r="A69" s="0"/>
      <c r="B69" s="0" t="inlineStr">
        <is>
          <t xml:space="preserve">Engineering</t>
        </is>
      </c>
      <c r="C69" s="0" t="inlineStr">
        <is>
          <t xml:space="preserve">Revenue</t>
        </is>
      </c>
      <c r="D69" s="4">
        <f>'Outlook actuals from the ledger'!I5</f>
        <v>0</v>
      </c>
      <c r="E69" s="4">
        <f>'Outlook actuals from the ledger'!J5</f>
        <v>0</v>
      </c>
      <c r="F69" s="4">
        <f>'Outlook actuals from the ledger'!K5</f>
        <v>0</v>
      </c>
      <c r="G69" s="4">
        <f>'Outlook actuals from the ledger'!L5</f>
        <v>0</v>
      </c>
      <c r="H69" s="4">
        <f>'Outlook actuals from the ledger'!M5</f>
        <v>0</v>
      </c>
    </row>
    <row r="70">
      <c r="A70" s="0"/>
      <c r="B70" s="0"/>
      <c r="C70" s="0" t="inlineStr">
        <is>
          <t xml:space="preserve">Cost of revenue: hosting</t>
        </is>
      </c>
      <c r="D70" s="4">
        <f>'Outlook actuals from the ledger'!I17</f>
        <v>0</v>
      </c>
      <c r="E70" s="4">
        <f>'Outlook actuals from the ledger'!J17</f>
        <v>0</v>
      </c>
      <c r="F70" s="4">
        <f>'Outlook actuals from the ledger'!K17</f>
        <v>0</v>
      </c>
      <c r="G70" s="4">
        <f>'Outlook actuals from the ledger'!L17</f>
        <v>0</v>
      </c>
      <c r="H70" s="4">
        <f>'Outlook actuals from the ledger'!M17</f>
        <v>0</v>
      </c>
    </row>
    <row r="71">
      <c r="A71" s="0"/>
      <c r="B71" s="0"/>
      <c r="C71" s="0" t="inlineStr">
        <is>
          <t xml:space="preserve">Cost of revenue: support</t>
        </is>
      </c>
      <c r="D71" s="4">
        <f>'Outlook actuals from the ledger'!I29</f>
        <v>0</v>
      </c>
      <c r="E71" s="4">
        <f>'Outlook actuals from the ledger'!J29</f>
        <v>0</v>
      </c>
      <c r="F71" s="4">
        <f>'Outlook actuals from the ledger'!K29</f>
        <v>0</v>
      </c>
      <c r="G71" s="4">
        <f>'Outlook actuals from the ledger'!L29</f>
        <v>0</v>
      </c>
      <c r="H71" s="4">
        <f>'Outlook actuals from the ledger'!M29</f>
        <v>0</v>
      </c>
    </row>
    <row r="72">
      <c r="A72" s="0"/>
      <c r="B72" s="0"/>
      <c r="C72" s="0" t="inlineStr">
        <is>
          <t xml:space="preserve">Salaries</t>
        </is>
      </c>
      <c r="D72" s="8">
        <f>'Outlook actuals from the ledger'!I41</f>
        <v>-741138</v>
      </c>
      <c r="E72" s="8">
        <f>'Outlook actuals from the ledger'!J41</f>
        <v>-707984</v>
      </c>
      <c r="F72" s="8">
        <f>'Outlook actuals from the ledger'!K41</f>
        <v>-720855</v>
      </c>
      <c r="G72" s="8">
        <f>'Outlook actuals from the ledger'!L41</f>
        <v>-823333.3333333334</v>
      </c>
      <c r="H72" s="8">
        <f>'Outlook actuals from the ledger'!M41</f>
        <v>-839166.6666666666</v>
      </c>
    </row>
    <row r="73">
      <c r="A73" s="0"/>
      <c r="B73" s="0"/>
      <c r="C73" s="0" t="inlineStr">
        <is>
          <t xml:space="preserve">Benefits and payroll taxes</t>
        </is>
      </c>
      <c r="D73" s="8">
        <f>'Outlook actuals from the ledger'!I53</f>
        <v>-152701</v>
      </c>
      <c r="E73" s="8">
        <f>'Outlook actuals from the ledger'!J53</f>
        <v>-153575</v>
      </c>
      <c r="F73" s="8">
        <f>'Outlook actuals from the ledger'!K53</f>
        <v>-172110</v>
      </c>
      <c r="G73" s="8">
        <f>'Outlook actuals from the ledger'!L53</f>
        <v>-176193.33333333334</v>
      </c>
      <c r="H73" s="8">
        <f>'Outlook actuals from the ledger'!M53</f>
        <v>-179581.66666666666</v>
      </c>
    </row>
    <row r="74">
      <c r="A74" s="0"/>
      <c r="B74" s="0"/>
      <c r="C74" s="0" t="inlineStr">
        <is>
          <t xml:space="preserve">Commissions</t>
        </is>
      </c>
      <c r="D74" s="4">
        <f>'Outlook actuals from the ledger'!I65</f>
        <v>0</v>
      </c>
      <c r="E74" s="4">
        <f>'Outlook actuals from the ledger'!J65</f>
        <v>0</v>
      </c>
      <c r="F74" s="4">
        <f>'Outlook actuals from the ledger'!K65</f>
        <v>0</v>
      </c>
      <c r="G74" s="4">
        <f>'Outlook actuals from the ledger'!L65</f>
        <v>0</v>
      </c>
      <c r="H74" s="4">
        <f>'Outlook actuals from the ledger'!M65</f>
        <v>0</v>
      </c>
    </row>
    <row r="75">
      <c r="A75" s="0"/>
      <c r="B75" s="0"/>
      <c r="C75" s="0" t="inlineStr">
        <is>
          <t xml:space="preserve">Contractors</t>
        </is>
      </c>
      <c r="D75" s="8">
        <f>'Outlook actuals from the ledger'!I77</f>
        <v>-60119</v>
      </c>
      <c r="E75" s="8">
        <f>'Outlook actuals from the ledger'!J77</f>
        <v>-64804</v>
      </c>
      <c r="F75" s="8">
        <f>'Outlook actuals from the ledger'!K77</f>
        <v>-63416</v>
      </c>
      <c r="G75" s="8">
        <f>'Outlook actuals from the ledger'!L77</f>
        <v>-63796.496</v>
      </c>
      <c r="H75" s="8">
        <f>'Outlook actuals from the ledger'!M77</f>
        <v>-64179.274976</v>
      </c>
    </row>
    <row r="76">
      <c r="A76" s="0"/>
      <c r="B76" s="0"/>
      <c r="C76" s="0" t="inlineStr">
        <is>
          <t xml:space="preserve">Cloud and infrastructure</t>
        </is>
      </c>
      <c r="D76" s="8">
        <f>'Outlook actuals from the ledger'!I89</f>
        <v>-456521</v>
      </c>
      <c r="E76" s="8">
        <f>'Outlook actuals from the ledger'!J89</f>
        <v>-403736</v>
      </c>
      <c r="F76" s="8">
        <f>'Outlook actuals from the ledger'!K89</f>
        <v>-417258</v>
      </c>
      <c r="G76" s="8">
        <f>'Outlook actuals from the ledger'!L89</f>
        <v>-412103.259567</v>
      </c>
      <c r="H76" s="8">
        <f>'Outlook actuals from the ledger'!M89</f>
        <v>-419933.2214987729</v>
      </c>
    </row>
    <row r="77">
      <c r="A77" s="0"/>
      <c r="B77" s="0"/>
      <c r="C77" s="0" t="inlineStr">
        <is>
          <t xml:space="preserve">Marketing programs</t>
        </is>
      </c>
      <c r="D77" s="4">
        <f>'Outlook actuals from the ledger'!I101</f>
        <v>0</v>
      </c>
      <c r="E77" s="4">
        <f>'Outlook actuals from the ledger'!J101</f>
        <v>0</v>
      </c>
      <c r="F77" s="4">
        <f>'Outlook actuals from the ledger'!K101</f>
        <v>0</v>
      </c>
      <c r="G77" s="4">
        <f>'Outlook actuals from the ledger'!L101</f>
        <v>0</v>
      </c>
      <c r="H77" s="4">
        <f>'Outlook actuals from the ledger'!M101</f>
        <v>0</v>
      </c>
    </row>
    <row r="78">
      <c r="A78" s="0"/>
      <c r="B78" s="0"/>
      <c r="C78" s="0" t="inlineStr">
        <is>
          <t xml:space="preserve">Software and tools</t>
        </is>
      </c>
      <c r="D78" s="8">
        <f>'Outlook actuals from the ledger'!I113</f>
        <v>-21510</v>
      </c>
      <c r="E78" s="8">
        <f>'Outlook actuals from the ledger'!J113</f>
        <v>-22118</v>
      </c>
      <c r="F78" s="8">
        <f>'Outlook actuals from the ledger'!K113</f>
        <v>-22109</v>
      </c>
      <c r="G78" s="8">
        <f>'Outlook actuals from the ledger'!L113</f>
        <v>-22241.654</v>
      </c>
      <c r="H78" s="8">
        <f>'Outlook actuals from the ledger'!M113</f>
        <v>-22375.103924</v>
      </c>
    </row>
    <row r="79">
      <c r="A79" s="0"/>
      <c r="B79" s="0"/>
      <c r="C79" s="0" t="inlineStr">
        <is>
          <t xml:space="preserve">Travel and events</t>
        </is>
      </c>
      <c r="D79" s="4">
        <f>'Outlook actuals from the ledger'!I125</f>
        <v>0</v>
      </c>
      <c r="E79" s="4">
        <f>'Outlook actuals from the ledger'!J125</f>
        <v>0</v>
      </c>
      <c r="F79" s="4">
        <f>'Outlook actuals from the ledger'!K125</f>
        <v>0</v>
      </c>
      <c r="G79" s="4">
        <f>'Outlook actuals from the ledger'!L125</f>
        <v>0</v>
      </c>
      <c r="H79" s="4">
        <f>'Outlook actuals from the ledger'!M125</f>
        <v>0</v>
      </c>
    </row>
    <row r="80">
      <c r="A80" s="0"/>
      <c r="B80" s="0"/>
      <c r="C80" s="0" t="inlineStr">
        <is>
          <t xml:space="preserve">Rent and facilities</t>
        </is>
      </c>
      <c r="D80" s="4">
        <f>'Outlook actuals from the ledger'!I137</f>
        <v>0</v>
      </c>
      <c r="E80" s="4">
        <f>'Outlook actuals from the ledger'!J137</f>
        <v>0</v>
      </c>
      <c r="F80" s="4">
        <f>'Outlook actuals from the ledger'!K137</f>
        <v>0</v>
      </c>
      <c r="G80" s="4">
        <f>'Outlook actuals from the ledger'!L137</f>
        <v>0</v>
      </c>
      <c r="H80" s="4">
        <f>'Outlook actuals from the ledger'!M137</f>
        <v>0</v>
      </c>
    </row>
    <row r="81">
      <c r="A81" s="0"/>
      <c r="B81" s="0"/>
      <c r="C81" s="0" t="inlineStr">
        <is>
          <t xml:space="preserve">Professional fees</t>
        </is>
      </c>
      <c r="D81" s="4">
        <f>'Outlook actuals from the ledger'!I149</f>
        <v>0</v>
      </c>
      <c r="E81" s="4">
        <f>'Outlook actuals from the ledger'!J149</f>
        <v>0</v>
      </c>
      <c r="F81" s="4">
        <f>'Outlook actuals from the ledger'!K149</f>
        <v>0</v>
      </c>
      <c r="G81" s="4">
        <f>'Outlook actuals from the ledger'!L149</f>
        <v>0</v>
      </c>
      <c r="H81" s="4">
        <f>'Outlook actuals from the ledger'!M149</f>
        <v>0</v>
      </c>
    </row>
    <row r="82">
      <c r="A82" s="0"/>
      <c r="B82" s="0"/>
      <c r="C82" s="0" t="inlineStr">
        <is>
          <t xml:space="preserve">Net</t>
        </is>
      </c>
      <c r="D82" s="8">
        <f>'Outlook actuals from the ledger'!I161</f>
        <v>-1431989</v>
      </c>
      <c r="E82" s="8">
        <f>'Outlook actuals from the ledger'!J161</f>
        <v>-1352217</v>
      </c>
      <c r="F82" s="8">
        <f>'Outlook actuals from the ledger'!K161</f>
        <v>-1395748</v>
      </c>
      <c r="G82" s="8">
        <f>'Outlook actuals from the ledger'!L161</f>
        <v>-1497668.0762336669</v>
      </c>
      <c r="H82" s="8">
        <f>'Outlook actuals from the ledger'!M161</f>
        <v>-1525235.9337321061</v>
      </c>
    </row>
    <row r="83">
      <c r="A83" s="0"/>
      <c r="B83" s="0" t="inlineStr">
        <is>
          <t xml:space="preserve">Customer success</t>
        </is>
      </c>
      <c r="C83" s="0" t="inlineStr">
        <is>
          <t xml:space="preserve">Revenue</t>
        </is>
      </c>
      <c r="D83" s="4">
        <f>'Outlook actuals from the ledger'!I6</f>
        <v>0</v>
      </c>
      <c r="E83" s="4">
        <f>'Outlook actuals from the ledger'!J6</f>
        <v>0</v>
      </c>
      <c r="F83" s="4">
        <f>'Outlook actuals from the ledger'!K6</f>
        <v>0</v>
      </c>
      <c r="G83" s="4">
        <f>'Outlook actuals from the ledger'!L6</f>
        <v>0</v>
      </c>
      <c r="H83" s="4">
        <f>'Outlook actuals from the ledger'!M6</f>
        <v>0</v>
      </c>
    </row>
    <row r="84">
      <c r="A84" s="0"/>
      <c r="B84" s="0"/>
      <c r="C84" s="0" t="inlineStr">
        <is>
          <t xml:space="preserve">Cost of revenue: hosting</t>
        </is>
      </c>
      <c r="D84" s="4">
        <f>'Outlook actuals from the ledger'!I18</f>
        <v>0</v>
      </c>
      <c r="E84" s="4">
        <f>'Outlook actuals from the ledger'!J18</f>
        <v>0</v>
      </c>
      <c r="F84" s="4">
        <f>'Outlook actuals from the ledger'!K18</f>
        <v>0</v>
      </c>
      <c r="G84" s="4">
        <f>'Outlook actuals from the ledger'!L18</f>
        <v>0</v>
      </c>
      <c r="H84" s="4">
        <f>'Outlook actuals from the ledger'!M18</f>
        <v>0</v>
      </c>
    </row>
    <row r="85">
      <c r="A85" s="0"/>
      <c r="B85" s="0"/>
      <c r="C85" s="0" t="inlineStr">
        <is>
          <t xml:space="preserve">Cost of revenue: support</t>
        </is>
      </c>
      <c r="D85" s="4">
        <f>'Outlook actuals from the ledger'!I30</f>
        <v>0</v>
      </c>
      <c r="E85" s="4">
        <f>'Outlook actuals from the ledger'!J30</f>
        <v>0</v>
      </c>
      <c r="F85" s="4">
        <f>'Outlook actuals from the ledger'!K30</f>
        <v>0</v>
      </c>
      <c r="G85" s="4">
        <f>'Outlook actuals from the ledger'!L30</f>
        <v>0</v>
      </c>
      <c r="H85" s="4">
        <f>'Outlook actuals from the ledger'!M30</f>
        <v>0</v>
      </c>
    </row>
    <row r="86">
      <c r="A86" s="0"/>
      <c r="B86" s="0"/>
      <c r="C86" s="0" t="inlineStr">
        <is>
          <t xml:space="preserve">Salaries</t>
        </is>
      </c>
      <c r="D86" s="8">
        <f>'Outlook actuals from the ledger'!I42</f>
        <v>-130875</v>
      </c>
      <c r="E86" s="8">
        <f>'Outlook actuals from the ledger'!J42</f>
        <v>-132654</v>
      </c>
      <c r="F86" s="8">
        <f>'Outlook actuals from the ledger'!K42</f>
        <v>-144753</v>
      </c>
      <c r="G86" s="8">
        <f>'Outlook actuals from the ledger'!L42</f>
        <v>-137500</v>
      </c>
      <c r="H86" s="8">
        <f>'Outlook actuals from the ledger'!M42</f>
        <v>-146666.66666666666</v>
      </c>
    </row>
    <row r="87">
      <c r="A87" s="0"/>
      <c r="B87" s="0"/>
      <c r="C87" s="0" t="inlineStr">
        <is>
          <t xml:space="preserve">Benefits and payroll taxes</t>
        </is>
      </c>
      <c r="D87" s="8">
        <f>'Outlook actuals from the ledger'!I54</f>
        <v>-26010</v>
      </c>
      <c r="E87" s="8">
        <f>'Outlook actuals from the ledger'!J54</f>
        <v>-28004</v>
      </c>
      <c r="F87" s="8">
        <f>'Outlook actuals from the ledger'!K54</f>
        <v>-31417</v>
      </c>
      <c r="G87" s="8">
        <f>'Outlook actuals from the ledger'!L54</f>
        <v>-29425</v>
      </c>
      <c r="H87" s="8">
        <f>'Outlook actuals from the ledger'!M54</f>
        <v>-31386.666666666664</v>
      </c>
    </row>
    <row r="88">
      <c r="A88" s="0"/>
      <c r="B88" s="0"/>
      <c r="C88" s="0" t="inlineStr">
        <is>
          <t xml:space="preserve">Commissions</t>
        </is>
      </c>
      <c r="D88" s="4">
        <f>'Outlook actuals from the ledger'!I66</f>
        <v>0</v>
      </c>
      <c r="E88" s="4">
        <f>'Outlook actuals from the ledger'!J66</f>
        <v>0</v>
      </c>
      <c r="F88" s="4">
        <f>'Outlook actuals from the ledger'!K66</f>
        <v>0</v>
      </c>
      <c r="G88" s="4">
        <f>'Outlook actuals from the ledger'!L66</f>
        <v>0</v>
      </c>
      <c r="H88" s="4">
        <f>'Outlook actuals from the ledger'!M66</f>
        <v>0</v>
      </c>
    </row>
    <row r="89">
      <c r="A89" s="0"/>
      <c r="B89" s="0"/>
      <c r="C89" s="0" t="inlineStr">
        <is>
          <t xml:space="preserve">Contractors</t>
        </is>
      </c>
      <c r="D89" s="4">
        <f>'Outlook actuals from the ledger'!I78</f>
        <v>0</v>
      </c>
      <c r="E89" s="4">
        <f>'Outlook actuals from the ledger'!J78</f>
        <v>0</v>
      </c>
      <c r="F89" s="4">
        <f>'Outlook actuals from the ledger'!K78</f>
        <v>0</v>
      </c>
      <c r="G89" s="4">
        <f>'Outlook actuals from the ledger'!L78</f>
        <v>0</v>
      </c>
      <c r="H89" s="4">
        <f>'Outlook actuals from the ledger'!M78</f>
        <v>0</v>
      </c>
    </row>
    <row r="90">
      <c r="A90" s="0"/>
      <c r="B90" s="0"/>
      <c r="C90" s="0" t="inlineStr">
        <is>
          <t xml:space="preserve">Cloud and infrastructure</t>
        </is>
      </c>
      <c r="D90" s="4">
        <f>'Outlook actuals from the ledger'!I90</f>
        <v>0</v>
      </c>
      <c r="E90" s="4">
        <f>'Outlook actuals from the ledger'!J90</f>
        <v>0</v>
      </c>
      <c r="F90" s="4">
        <f>'Outlook actuals from the ledger'!K90</f>
        <v>0</v>
      </c>
      <c r="G90" s="4">
        <f>'Outlook actuals from the ledger'!L90</f>
        <v>0</v>
      </c>
      <c r="H90" s="4">
        <f>'Outlook actuals from the ledger'!M90</f>
        <v>0</v>
      </c>
    </row>
    <row r="91">
      <c r="A91" s="0"/>
      <c r="B91" s="0"/>
      <c r="C91" s="0" t="inlineStr">
        <is>
          <t xml:space="preserve">Marketing programs</t>
        </is>
      </c>
      <c r="D91" s="4">
        <f>'Outlook actuals from the ledger'!I102</f>
        <v>0</v>
      </c>
      <c r="E91" s="4">
        <f>'Outlook actuals from the ledger'!J102</f>
        <v>0</v>
      </c>
      <c r="F91" s="4">
        <f>'Outlook actuals from the ledger'!K102</f>
        <v>0</v>
      </c>
      <c r="G91" s="4">
        <f>'Outlook actuals from the ledger'!L102</f>
        <v>0</v>
      </c>
      <c r="H91" s="4">
        <f>'Outlook actuals from the ledger'!M102</f>
        <v>0</v>
      </c>
    </row>
    <row r="92">
      <c r="A92" s="0"/>
      <c r="B92" s="0"/>
      <c r="C92" s="0" t="inlineStr">
        <is>
          <t xml:space="preserve">Software and tools</t>
        </is>
      </c>
      <c r="D92" s="8">
        <f>'Outlook actuals from the ledger'!I114</f>
        <v>-7561</v>
      </c>
      <c r="E92" s="8">
        <f>'Outlook actuals from the ledger'!J114</f>
        <v>-7273</v>
      </c>
      <c r="F92" s="8">
        <f>'Outlook actuals from the ledger'!K114</f>
        <v>-6767</v>
      </c>
      <c r="G92" s="8">
        <f>'Outlook actuals from the ledger'!L114</f>
        <v>-6807.602</v>
      </c>
      <c r="H92" s="8">
        <f>'Outlook actuals from the ledger'!M114</f>
        <v>-6848.447612</v>
      </c>
    </row>
    <row r="93">
      <c r="A93" s="0"/>
      <c r="B93" s="0"/>
      <c r="C93" s="0" t="inlineStr">
        <is>
          <t xml:space="preserve">Travel and events</t>
        </is>
      </c>
      <c r="D93" s="8">
        <f>'Outlook actuals from the ledger'!I126</f>
        <v>-4341</v>
      </c>
      <c r="E93" s="8">
        <f>'Outlook actuals from the ledger'!J126</f>
        <v>-4266</v>
      </c>
      <c r="F93" s="8">
        <f>'Outlook actuals from the ledger'!K126</f>
        <v>-4049</v>
      </c>
      <c r="G93" s="8">
        <f>'Outlook actuals from the ledger'!L126</f>
        <v>-4073.294</v>
      </c>
      <c r="H93" s="8">
        <f>'Outlook actuals from the ledger'!M126</f>
        <v>-4097.733764</v>
      </c>
    </row>
    <row r="94">
      <c r="A94" s="0"/>
      <c r="B94" s="0"/>
      <c r="C94" s="0" t="inlineStr">
        <is>
          <t xml:space="preserve">Rent and facilities</t>
        </is>
      </c>
      <c r="D94" s="4">
        <f>'Outlook actuals from the ledger'!I138</f>
        <v>0</v>
      </c>
      <c r="E94" s="4">
        <f>'Outlook actuals from the ledger'!J138</f>
        <v>0</v>
      </c>
      <c r="F94" s="4">
        <f>'Outlook actuals from the ledger'!K138</f>
        <v>0</v>
      </c>
      <c r="G94" s="4">
        <f>'Outlook actuals from the ledger'!L138</f>
        <v>0</v>
      </c>
      <c r="H94" s="4">
        <f>'Outlook actuals from the ledger'!M138</f>
        <v>0</v>
      </c>
    </row>
    <row r="95">
      <c r="A95" s="0"/>
      <c r="B95" s="0"/>
      <c r="C95" s="0" t="inlineStr">
        <is>
          <t xml:space="preserve">Professional fees</t>
        </is>
      </c>
      <c r="D95" s="4">
        <f>'Outlook actuals from the ledger'!I150</f>
        <v>0</v>
      </c>
      <c r="E95" s="4">
        <f>'Outlook actuals from the ledger'!J150</f>
        <v>0</v>
      </c>
      <c r="F95" s="4">
        <f>'Outlook actuals from the ledger'!K150</f>
        <v>0</v>
      </c>
      <c r="G95" s="4">
        <f>'Outlook actuals from the ledger'!L150</f>
        <v>0</v>
      </c>
      <c r="H95" s="4">
        <f>'Outlook actuals from the ledger'!M150</f>
        <v>0</v>
      </c>
    </row>
    <row r="96">
      <c r="A96" s="0"/>
      <c r="B96" s="0"/>
      <c r="C96" s="0" t="inlineStr">
        <is>
          <t xml:space="preserve">Net</t>
        </is>
      </c>
      <c r="D96" s="8">
        <f>'Outlook actuals from the ledger'!I162</f>
        <v>-168787</v>
      </c>
      <c r="E96" s="8">
        <f>'Outlook actuals from the ledger'!J162</f>
        <v>-172197</v>
      </c>
      <c r="F96" s="8">
        <f>'Outlook actuals from the ledger'!K162</f>
        <v>-186986</v>
      </c>
      <c r="G96" s="8">
        <f>'Outlook actuals from the ledger'!L162</f>
        <v>-177805.896</v>
      </c>
      <c r="H96" s="8">
        <f>'Outlook actuals from the ledger'!M162</f>
        <v>-188999.5147093333</v>
      </c>
    </row>
    <row r="97">
      <c r="A97" s="0"/>
      <c r="B97" s="0" t="inlineStr">
        <is>
          <t xml:space="preserve">G&amp;A</t>
        </is>
      </c>
      <c r="C97" s="0" t="inlineStr">
        <is>
          <t xml:space="preserve">Revenue</t>
        </is>
      </c>
      <c r="D97" s="4">
        <f>'Outlook actuals from the ledger'!I7</f>
        <v>0</v>
      </c>
      <c r="E97" s="4">
        <f>'Outlook actuals from the ledger'!J7</f>
        <v>0</v>
      </c>
      <c r="F97" s="4">
        <f>'Outlook actuals from the ledger'!K7</f>
        <v>0</v>
      </c>
      <c r="G97" s="4">
        <f>'Outlook actuals from the ledger'!L7</f>
        <v>0</v>
      </c>
      <c r="H97" s="4">
        <f>'Outlook actuals from the ledger'!M7</f>
        <v>0</v>
      </c>
    </row>
    <row r="98">
      <c r="A98" s="0"/>
      <c r="B98" s="0"/>
      <c r="C98" s="0" t="inlineStr">
        <is>
          <t xml:space="preserve">Cost of revenue: hosting</t>
        </is>
      </c>
      <c r="D98" s="4">
        <f>'Outlook actuals from the ledger'!I19</f>
        <v>0</v>
      </c>
      <c r="E98" s="4">
        <f>'Outlook actuals from the ledger'!J19</f>
        <v>0</v>
      </c>
      <c r="F98" s="4">
        <f>'Outlook actuals from the ledger'!K19</f>
        <v>0</v>
      </c>
      <c r="G98" s="4">
        <f>'Outlook actuals from the ledger'!L19</f>
        <v>0</v>
      </c>
      <c r="H98" s="4">
        <f>'Outlook actuals from the ledger'!M19</f>
        <v>0</v>
      </c>
    </row>
    <row r="99">
      <c r="A99" s="0"/>
      <c r="B99" s="0"/>
      <c r="C99" s="0" t="inlineStr">
        <is>
          <t xml:space="preserve">Cost of revenue: support</t>
        </is>
      </c>
      <c r="D99" s="4">
        <f>'Outlook actuals from the ledger'!I31</f>
        <v>0</v>
      </c>
      <c r="E99" s="4">
        <f>'Outlook actuals from the ledger'!J31</f>
        <v>0</v>
      </c>
      <c r="F99" s="4">
        <f>'Outlook actuals from the ledger'!K31</f>
        <v>0</v>
      </c>
      <c r="G99" s="4">
        <f>'Outlook actuals from the ledger'!L31</f>
        <v>0</v>
      </c>
      <c r="H99" s="4">
        <f>'Outlook actuals from the ledger'!M31</f>
        <v>0</v>
      </c>
    </row>
    <row r="100">
      <c r="A100" s="0"/>
      <c r="B100" s="0"/>
      <c r="C100" s="0" t="inlineStr">
        <is>
          <t xml:space="preserve">Salaries</t>
        </is>
      </c>
      <c r="D100" s="4">
        <f>'Outlook actuals from the ledger'!I43</f>
        <v>-142220</v>
      </c>
      <c r="E100" s="4">
        <f>'Outlook actuals from the ledger'!J43</f>
        <v>-145483</v>
      </c>
      <c r="F100" s="4">
        <f>'Outlook actuals from the ledger'!K43</f>
        <v>-139270</v>
      </c>
      <c r="G100" s="4">
        <f>'Outlook actuals from the ledger'!L43</f>
        <v>-150000</v>
      </c>
      <c r="H100" s="4">
        <f>'Outlook actuals from the ledger'!M43</f>
        <v>-150000</v>
      </c>
    </row>
    <row r="101">
      <c r="A101" s="0"/>
      <c r="B101" s="0"/>
      <c r="C101" s="0" t="inlineStr">
        <is>
          <t xml:space="preserve">Benefits and payroll taxes</t>
        </is>
      </c>
      <c r="D101" s="4">
        <f>'Outlook actuals from the ledger'!I55</f>
        <v>-29107</v>
      </c>
      <c r="E101" s="4">
        <f>'Outlook actuals from the ledger'!J55</f>
        <v>-27624</v>
      </c>
      <c r="F101" s="4">
        <f>'Outlook actuals from the ledger'!K55</f>
        <v>-28152</v>
      </c>
      <c r="G101" s="4">
        <f>'Outlook actuals from the ledger'!L55</f>
        <v>-32100</v>
      </c>
      <c r="H101" s="4">
        <f>'Outlook actuals from the ledger'!M55</f>
        <v>-32100</v>
      </c>
    </row>
    <row r="102">
      <c r="A102" s="0"/>
      <c r="B102" s="0"/>
      <c r="C102" s="0" t="inlineStr">
        <is>
          <t xml:space="preserve">Commissions</t>
        </is>
      </c>
      <c r="D102" s="4">
        <f>'Outlook actuals from the ledger'!I67</f>
        <v>0</v>
      </c>
      <c r="E102" s="4">
        <f>'Outlook actuals from the ledger'!J67</f>
        <v>0</v>
      </c>
      <c r="F102" s="4">
        <f>'Outlook actuals from the ledger'!K67</f>
        <v>0</v>
      </c>
      <c r="G102" s="4">
        <f>'Outlook actuals from the ledger'!L67</f>
        <v>0</v>
      </c>
      <c r="H102" s="4">
        <f>'Outlook actuals from the ledger'!M67</f>
        <v>0</v>
      </c>
    </row>
    <row r="103">
      <c r="A103" s="0"/>
      <c r="B103" s="0"/>
      <c r="C103" s="0" t="inlineStr">
        <is>
          <t xml:space="preserve">Contractors</t>
        </is>
      </c>
      <c r="D103" s="4">
        <f>'Outlook actuals from the ledger'!I79</f>
        <v>0</v>
      </c>
      <c r="E103" s="4">
        <f>'Outlook actuals from the ledger'!J79</f>
        <v>0</v>
      </c>
      <c r="F103" s="4">
        <f>'Outlook actuals from the ledger'!K79</f>
        <v>0</v>
      </c>
      <c r="G103" s="4">
        <f>'Outlook actuals from the ledger'!L79</f>
        <v>0</v>
      </c>
      <c r="H103" s="4">
        <f>'Outlook actuals from the ledger'!M79</f>
        <v>0</v>
      </c>
    </row>
    <row r="104">
      <c r="A104" s="0"/>
      <c r="B104" s="0"/>
      <c r="C104" s="0" t="inlineStr">
        <is>
          <t xml:space="preserve">Cloud and infrastructure</t>
        </is>
      </c>
      <c r="D104" s="4">
        <f>'Outlook actuals from the ledger'!I91</f>
        <v>0</v>
      </c>
      <c r="E104" s="4">
        <f>'Outlook actuals from the ledger'!J91</f>
        <v>0</v>
      </c>
      <c r="F104" s="4">
        <f>'Outlook actuals from the ledger'!K91</f>
        <v>0</v>
      </c>
      <c r="G104" s="4">
        <f>'Outlook actuals from the ledger'!L91</f>
        <v>0</v>
      </c>
      <c r="H104" s="4">
        <f>'Outlook actuals from the ledger'!M91</f>
        <v>0</v>
      </c>
    </row>
    <row r="105">
      <c r="A105" s="0"/>
      <c r="B105" s="0"/>
      <c r="C105" s="0" t="inlineStr">
        <is>
          <t xml:space="preserve">Marketing programs</t>
        </is>
      </c>
      <c r="D105" s="4">
        <f>'Outlook actuals from the ledger'!I103</f>
        <v>0</v>
      </c>
      <c r="E105" s="4">
        <f>'Outlook actuals from the ledger'!J103</f>
        <v>0</v>
      </c>
      <c r="F105" s="4">
        <f>'Outlook actuals from the ledger'!K103</f>
        <v>0</v>
      </c>
      <c r="G105" s="4">
        <f>'Outlook actuals from the ledger'!L103</f>
        <v>0</v>
      </c>
      <c r="H105" s="4">
        <f>'Outlook actuals from the ledger'!M103</f>
        <v>0</v>
      </c>
    </row>
    <row r="106">
      <c r="A106" s="0"/>
      <c r="B106" s="0"/>
      <c r="C106" s="0" t="inlineStr">
        <is>
          <t xml:space="preserve">Software and tools</t>
        </is>
      </c>
      <c r="D106" s="8">
        <f>'Outlook actuals from the ledger'!I115</f>
        <v>-12270</v>
      </c>
      <c r="E106" s="8">
        <f>'Outlook actuals from the ledger'!J115</f>
        <v>-11969</v>
      </c>
      <c r="F106" s="8">
        <f>'Outlook actuals from the ledger'!K115</f>
        <v>-11726</v>
      </c>
      <c r="G106" s="8">
        <f>'Outlook actuals from the ledger'!L115</f>
        <v>-11796.356</v>
      </c>
      <c r="H106" s="8">
        <f>'Outlook actuals from the ledger'!M115</f>
        <v>-11867.134136</v>
      </c>
    </row>
    <row r="107">
      <c r="A107" s="0"/>
      <c r="B107" s="0"/>
      <c r="C107" s="0" t="inlineStr">
        <is>
          <t xml:space="preserve">Travel and events</t>
        </is>
      </c>
      <c r="D107" s="8">
        <f>'Outlook actuals from the ledger'!I127</f>
        <v>-5890</v>
      </c>
      <c r="E107" s="8">
        <f>'Outlook actuals from the ledger'!J127</f>
        <v>-6391</v>
      </c>
      <c r="F107" s="8">
        <f>'Outlook actuals from the ledger'!K127</f>
        <v>-5904</v>
      </c>
      <c r="G107" s="8">
        <f>'Outlook actuals from the ledger'!L127</f>
        <v>-5939.424</v>
      </c>
      <c r="H107" s="8">
        <f>'Outlook actuals from the ledger'!M127</f>
        <v>-5975.060544</v>
      </c>
    </row>
    <row r="108">
      <c r="A108" s="0"/>
      <c r="B108" s="0"/>
      <c r="C108" s="0" t="inlineStr">
        <is>
          <t xml:space="preserve">Rent and facilities</t>
        </is>
      </c>
      <c r="D108" s="8">
        <f>'Outlook actuals from the ledger'!I139</f>
        <v>-82214</v>
      </c>
      <c r="E108" s="8">
        <f>'Outlook actuals from the ledger'!J139</f>
        <v>-100959</v>
      </c>
      <c r="F108" s="8">
        <f>'Outlook actuals from the ledger'!K139</f>
        <v>-94859</v>
      </c>
      <c r="G108" s="8">
        <f>'Outlook actuals from the ledger'!L139</f>
        <v>-95428.154</v>
      </c>
      <c r="H108" s="8">
        <f>'Outlook actuals from the ledger'!M139</f>
        <v>-96000.722924</v>
      </c>
    </row>
    <row r="109">
      <c r="A109" s="0"/>
      <c r="B109" s="0"/>
      <c r="C109" s="0" t="inlineStr">
        <is>
          <t xml:space="preserve">Professional fees</t>
        </is>
      </c>
      <c r="D109" s="8">
        <f>'Outlook actuals from the ledger'!I151</f>
        <v>-35172</v>
      </c>
      <c r="E109" s="8">
        <f>'Outlook actuals from the ledger'!J151</f>
        <v>-35372</v>
      </c>
      <c r="F109" s="8">
        <f>'Outlook actuals from the ledger'!K151</f>
        <v>-34129</v>
      </c>
      <c r="G109" s="8">
        <f>'Outlook actuals from the ledger'!L151</f>
        <v>-34333.774</v>
      </c>
      <c r="H109" s="8">
        <f>'Outlook actuals from the ledger'!M151</f>
        <v>-34539.776644</v>
      </c>
    </row>
    <row r="110">
      <c r="A110" s="0"/>
      <c r="B110" s="0"/>
      <c r="C110" s="0" t="inlineStr">
        <is>
          <t xml:space="preserve">Net</t>
        </is>
      </c>
      <c r="D110" s="8">
        <f>'Outlook actuals from the ledger'!I163</f>
        <v>-306873</v>
      </c>
      <c r="E110" s="8">
        <f>'Outlook actuals from the ledger'!J163</f>
        <v>-327798</v>
      </c>
      <c r="F110" s="8">
        <f>'Outlook actuals from the ledger'!K163</f>
        <v>-314040</v>
      </c>
      <c r="G110" s="8">
        <f>'Outlook actuals from the ledger'!L163</f>
        <v>-329597.708</v>
      </c>
      <c r="H110" s="8">
        <f>'Outlook actuals from the ledger'!M163</f>
        <v>-330482.69424800004</v>
      </c>
    </row>
    <row r="111">
      <c r="A111" s="0" t="inlineStr">
        <is>
          <t xml:space="preserve">United Kingdom</t>
        </is>
      </c>
      <c r="B111" s="0" t="inlineStr">
        <is>
          <t xml:space="preserve">Company (revenue and cost of revenue)</t>
        </is>
      </c>
      <c r="C111" s="0" t="inlineStr">
        <is>
          <t xml:space="preserve">Revenue</t>
        </is>
      </c>
      <c r="D111" s="8">
        <f>'Outlook actuals from the ledger'!I8</f>
        <v>1971962</v>
      </c>
      <c r="E111" s="8">
        <f>'Outlook actuals from the ledger'!J8</f>
        <v>1948393</v>
      </c>
      <c r="F111" s="8">
        <f>'Outlook actuals from the ledger'!K8</f>
        <v>1943549</v>
      </c>
      <c r="G111" s="8">
        <f>'Outlook actuals from the ledger'!L8</f>
        <v>1980476.4309999999</v>
      </c>
      <c r="H111" s="8">
        <f>'Outlook actuals from the ledger'!M8</f>
        <v>2018105.4831889996</v>
      </c>
    </row>
    <row r="112">
      <c r="A112" s="0"/>
      <c r="B112" s="0"/>
      <c r="C112" s="0" t="inlineStr">
        <is>
          <t xml:space="preserve">Cost of revenue: hosting</t>
        </is>
      </c>
      <c r="D112" s="8">
        <f>'Outlook actuals from the ledger'!I20</f>
        <v>-226989</v>
      </c>
      <c r="E112" s="8">
        <f>'Outlook actuals from the ledger'!J20</f>
        <v>-233588</v>
      </c>
      <c r="F112" s="8">
        <f>'Outlook actuals from the ledger'!K20</f>
        <v>-243854</v>
      </c>
      <c r="G112" s="8">
        <f>'Outlook actuals from the ledger'!L20</f>
        <v>-233696.21885799998</v>
      </c>
      <c r="H112" s="8">
        <f>'Outlook actuals from the ledger'!M20</f>
        <v>-238136.44701630194</v>
      </c>
    </row>
    <row r="113">
      <c r="A113" s="0"/>
      <c r="B113" s="0"/>
      <c r="C113" s="0" t="inlineStr">
        <is>
          <t xml:space="preserve">Cost of revenue: support</t>
        </is>
      </c>
      <c r="D113" s="8">
        <f>'Outlook actuals from the ledger'!I32</f>
        <v>-111277</v>
      </c>
      <c r="E113" s="8">
        <f>'Outlook actuals from the ledger'!J32</f>
        <v>-86485</v>
      </c>
      <c r="F113" s="8">
        <f>'Outlook actuals from the ledger'!K32</f>
        <v>-101610</v>
      </c>
      <c r="G113" s="8">
        <f>'Outlook actuals from the ledger'!L32</f>
        <v>-101004.29798099998</v>
      </c>
      <c r="H113" s="8">
        <f>'Outlook actuals from the ledger'!M32</f>
        <v>-102923.37964263897</v>
      </c>
    </row>
    <row r="114">
      <c r="A114" s="0"/>
      <c r="B114" s="0"/>
      <c r="C114" s="0" t="inlineStr">
        <is>
          <t xml:space="preserve">Salaries</t>
        </is>
      </c>
      <c r="D114" s="4">
        <f>'Outlook actuals from the ledger'!I44</f>
        <v>0</v>
      </c>
      <c r="E114" s="4">
        <f>'Outlook actuals from the ledger'!J44</f>
        <v>0</v>
      </c>
      <c r="F114" s="4">
        <f>'Outlook actuals from the ledger'!K44</f>
        <v>0</v>
      </c>
      <c r="G114" s="4">
        <f>'Outlook actuals from the ledger'!L44</f>
        <v>0</v>
      </c>
      <c r="H114" s="4">
        <f>'Outlook actuals from the ledger'!M44</f>
        <v>0</v>
      </c>
    </row>
    <row r="115">
      <c r="A115" s="0"/>
      <c r="B115" s="0"/>
      <c r="C115" s="0" t="inlineStr">
        <is>
          <t xml:space="preserve">Benefits and payroll taxes</t>
        </is>
      </c>
      <c r="D115" s="4">
        <f>'Outlook actuals from the ledger'!I56</f>
        <v>0</v>
      </c>
      <c r="E115" s="4">
        <f>'Outlook actuals from the ledger'!J56</f>
        <v>0</v>
      </c>
      <c r="F115" s="4">
        <f>'Outlook actuals from the ledger'!K56</f>
        <v>0</v>
      </c>
      <c r="G115" s="4">
        <f>'Outlook actuals from the ledger'!L56</f>
        <v>0</v>
      </c>
      <c r="H115" s="4">
        <f>'Outlook actuals from the ledger'!M56</f>
        <v>0</v>
      </c>
    </row>
    <row r="116">
      <c r="A116" s="0"/>
      <c r="B116" s="0"/>
      <c r="C116" s="0" t="inlineStr">
        <is>
          <t xml:space="preserve">Commissions</t>
        </is>
      </c>
      <c r="D116" s="4">
        <f>'Outlook actuals from the ledger'!I68</f>
        <v>0</v>
      </c>
      <c r="E116" s="4">
        <f>'Outlook actuals from the ledger'!J68</f>
        <v>0</v>
      </c>
      <c r="F116" s="4">
        <f>'Outlook actuals from the ledger'!K68</f>
        <v>0</v>
      </c>
      <c r="G116" s="4">
        <f>'Outlook actuals from the ledger'!L68</f>
        <v>0</v>
      </c>
      <c r="H116" s="4">
        <f>'Outlook actuals from the ledger'!M68</f>
        <v>0</v>
      </c>
    </row>
    <row r="117">
      <c r="A117" s="0"/>
      <c r="B117" s="0"/>
      <c r="C117" s="0" t="inlineStr">
        <is>
          <t xml:space="preserve">Contractors</t>
        </is>
      </c>
      <c r="D117" s="4">
        <f>'Outlook actuals from the ledger'!I80</f>
        <v>0</v>
      </c>
      <c r="E117" s="4">
        <f>'Outlook actuals from the ledger'!J80</f>
        <v>0</v>
      </c>
      <c r="F117" s="4">
        <f>'Outlook actuals from the ledger'!K80</f>
        <v>0</v>
      </c>
      <c r="G117" s="4">
        <f>'Outlook actuals from the ledger'!L80</f>
        <v>0</v>
      </c>
      <c r="H117" s="4">
        <f>'Outlook actuals from the ledger'!M80</f>
        <v>0</v>
      </c>
    </row>
    <row r="118">
      <c r="A118" s="0"/>
      <c r="B118" s="0"/>
      <c r="C118" s="0" t="inlineStr">
        <is>
          <t xml:space="preserve">Cloud and infrastructure</t>
        </is>
      </c>
      <c r="D118" s="4">
        <f>'Outlook actuals from the ledger'!I92</f>
        <v>0</v>
      </c>
      <c r="E118" s="4">
        <f>'Outlook actuals from the ledger'!J92</f>
        <v>0</v>
      </c>
      <c r="F118" s="4">
        <f>'Outlook actuals from the ledger'!K92</f>
        <v>0</v>
      </c>
      <c r="G118" s="4">
        <f>'Outlook actuals from the ledger'!L92</f>
        <v>0</v>
      </c>
      <c r="H118" s="4">
        <f>'Outlook actuals from the ledger'!M92</f>
        <v>0</v>
      </c>
    </row>
    <row r="119">
      <c r="A119" s="0"/>
      <c r="B119" s="0"/>
      <c r="C119" s="0" t="inlineStr">
        <is>
          <t xml:space="preserve">Marketing programs</t>
        </is>
      </c>
      <c r="D119" s="4">
        <f>'Outlook actuals from the ledger'!I104</f>
        <v>0</v>
      </c>
      <c r="E119" s="4">
        <f>'Outlook actuals from the ledger'!J104</f>
        <v>0</v>
      </c>
      <c r="F119" s="4">
        <f>'Outlook actuals from the ledger'!K104</f>
        <v>0</v>
      </c>
      <c r="G119" s="4">
        <f>'Outlook actuals from the ledger'!L104</f>
        <v>0</v>
      </c>
      <c r="H119" s="4">
        <f>'Outlook actuals from the ledger'!M104</f>
        <v>0</v>
      </c>
    </row>
    <row r="120">
      <c r="A120" s="0"/>
      <c r="B120" s="0"/>
      <c r="C120" s="0" t="inlineStr">
        <is>
          <t xml:space="preserve">Software and tools</t>
        </is>
      </c>
      <c r="D120" s="4">
        <f>'Outlook actuals from the ledger'!I116</f>
        <v>0</v>
      </c>
      <c r="E120" s="4">
        <f>'Outlook actuals from the ledger'!J116</f>
        <v>0</v>
      </c>
      <c r="F120" s="4">
        <f>'Outlook actuals from the ledger'!K116</f>
        <v>0</v>
      </c>
      <c r="G120" s="4">
        <f>'Outlook actuals from the ledger'!L116</f>
        <v>0</v>
      </c>
      <c r="H120" s="4">
        <f>'Outlook actuals from the ledger'!M116</f>
        <v>0</v>
      </c>
    </row>
    <row r="121">
      <c r="A121" s="0"/>
      <c r="B121" s="0"/>
      <c r="C121" s="0" t="inlineStr">
        <is>
          <t xml:space="preserve">Travel and events</t>
        </is>
      </c>
      <c r="D121" s="4">
        <f>'Outlook actuals from the ledger'!I128</f>
        <v>0</v>
      </c>
      <c r="E121" s="4">
        <f>'Outlook actuals from the ledger'!J128</f>
        <v>0</v>
      </c>
      <c r="F121" s="4">
        <f>'Outlook actuals from the ledger'!K128</f>
        <v>0</v>
      </c>
      <c r="G121" s="4">
        <f>'Outlook actuals from the ledger'!L128</f>
        <v>0</v>
      </c>
      <c r="H121" s="4">
        <f>'Outlook actuals from the ledger'!M128</f>
        <v>0</v>
      </c>
    </row>
    <row r="122">
      <c r="A122" s="0"/>
      <c r="B122" s="0"/>
      <c r="C122" s="0" t="inlineStr">
        <is>
          <t xml:space="preserve">Rent and facilities</t>
        </is>
      </c>
      <c r="D122" s="4">
        <f>'Outlook actuals from the ledger'!I140</f>
        <v>0</v>
      </c>
      <c r="E122" s="4">
        <f>'Outlook actuals from the ledger'!J140</f>
        <v>0</v>
      </c>
      <c r="F122" s="4">
        <f>'Outlook actuals from the ledger'!K140</f>
        <v>0</v>
      </c>
      <c r="G122" s="4">
        <f>'Outlook actuals from the ledger'!L140</f>
        <v>0</v>
      </c>
      <c r="H122" s="4">
        <f>'Outlook actuals from the ledger'!M140</f>
        <v>0</v>
      </c>
    </row>
    <row r="123">
      <c r="A123" s="0"/>
      <c r="B123" s="0"/>
      <c r="C123" s="0" t="inlineStr">
        <is>
          <t xml:space="preserve">Professional fees</t>
        </is>
      </c>
      <c r="D123" s="4">
        <f>'Outlook actuals from the ledger'!I152</f>
        <v>0</v>
      </c>
      <c r="E123" s="4">
        <f>'Outlook actuals from the ledger'!J152</f>
        <v>0</v>
      </c>
      <c r="F123" s="4">
        <f>'Outlook actuals from the ledger'!K152</f>
        <v>0</v>
      </c>
      <c r="G123" s="4">
        <f>'Outlook actuals from the ledger'!L152</f>
        <v>0</v>
      </c>
      <c r="H123" s="4">
        <f>'Outlook actuals from the ledger'!M152</f>
        <v>0</v>
      </c>
    </row>
    <row r="124">
      <c r="A124" s="0"/>
      <c r="B124" s="0"/>
      <c r="C124" s="0" t="inlineStr">
        <is>
          <t xml:space="preserve">Net</t>
        </is>
      </c>
      <c r="D124" s="8">
        <f>'Outlook actuals from the ledger'!I164</f>
        <v>1633696</v>
      </c>
      <c r="E124" s="8">
        <f>'Outlook actuals from the ledger'!J164</f>
        <v>1628320</v>
      </c>
      <c r="F124" s="8">
        <f>'Outlook actuals from the ledger'!K164</f>
        <v>1598085</v>
      </c>
      <c r="G124" s="8">
        <f>'Outlook actuals from the ledger'!L164</f>
        <v>1645775.914161</v>
      </c>
      <c r="H124" s="8">
        <f>'Outlook actuals from the ledger'!M164</f>
        <v>1677045.6565300585</v>
      </c>
    </row>
    <row r="125">
      <c r="A125" s="0"/>
      <c r="B125" s="0" t="inlineStr">
        <is>
          <t xml:space="preserve">Sales</t>
        </is>
      </c>
      <c r="C125" s="0" t="inlineStr">
        <is>
          <t xml:space="preserve">Revenue</t>
        </is>
      </c>
      <c r="D125" s="4">
        <f>'Outlook actuals from the ledger'!I9</f>
        <v>0</v>
      </c>
      <c r="E125" s="4">
        <f>'Outlook actuals from the ledger'!J9</f>
        <v>0</v>
      </c>
      <c r="F125" s="4">
        <f>'Outlook actuals from the ledger'!K9</f>
        <v>0</v>
      </c>
      <c r="G125" s="4">
        <f>'Outlook actuals from the ledger'!L9</f>
        <v>0</v>
      </c>
      <c r="H125" s="4">
        <f>'Outlook actuals from the ledger'!M9</f>
        <v>0</v>
      </c>
    </row>
    <row r="126">
      <c r="A126" s="0"/>
      <c r="B126" s="0"/>
      <c r="C126" s="0" t="inlineStr">
        <is>
          <t xml:space="preserve">Cost of revenue: hosting</t>
        </is>
      </c>
      <c r="D126" s="4">
        <f>'Outlook actuals from the ledger'!I21</f>
        <v>0</v>
      </c>
      <c r="E126" s="4">
        <f>'Outlook actuals from the ledger'!J21</f>
        <v>0</v>
      </c>
      <c r="F126" s="4">
        <f>'Outlook actuals from the ledger'!K21</f>
        <v>0</v>
      </c>
      <c r="G126" s="4">
        <f>'Outlook actuals from the ledger'!L21</f>
        <v>0</v>
      </c>
      <c r="H126" s="4">
        <f>'Outlook actuals from the ledger'!M21</f>
        <v>0</v>
      </c>
    </row>
    <row r="127">
      <c r="A127" s="0"/>
      <c r="B127" s="0"/>
      <c r="C127" s="0" t="inlineStr">
        <is>
          <t xml:space="preserve">Cost of revenue: support</t>
        </is>
      </c>
      <c r="D127" s="4">
        <f>'Outlook actuals from the ledger'!I33</f>
        <v>0</v>
      </c>
      <c r="E127" s="4">
        <f>'Outlook actuals from the ledger'!J33</f>
        <v>0</v>
      </c>
      <c r="F127" s="4">
        <f>'Outlook actuals from the ledger'!K33</f>
        <v>0</v>
      </c>
      <c r="G127" s="4">
        <f>'Outlook actuals from the ledger'!L33</f>
        <v>0</v>
      </c>
      <c r="H127" s="4">
        <f>'Outlook actuals from the ledger'!M33</f>
        <v>0</v>
      </c>
    </row>
    <row r="128">
      <c r="A128" s="0"/>
      <c r="B128" s="0"/>
      <c r="C128" s="0" t="inlineStr">
        <is>
          <t xml:space="preserve">Salaries</t>
        </is>
      </c>
      <c r="D128" s="4">
        <f>'Outlook actuals from the ledger'!I45</f>
        <v>-107649</v>
      </c>
      <c r="E128" s="4">
        <f>'Outlook actuals from the ledger'!J45</f>
        <v>-104386</v>
      </c>
      <c r="F128" s="4">
        <f>'Outlook actuals from the ledger'!K45</f>
        <v>-102538</v>
      </c>
      <c r="G128" s="4">
        <f>'Outlook actuals from the ledger'!L45</f>
        <v>-140000</v>
      </c>
      <c r="H128" s="4">
        <f>'Outlook actuals from the ledger'!M45</f>
        <v>-140000</v>
      </c>
    </row>
    <row r="129">
      <c r="A129" s="0"/>
      <c r="B129" s="0"/>
      <c r="C129" s="0" t="inlineStr">
        <is>
          <t xml:space="preserve">Benefits and payroll taxes</t>
        </is>
      </c>
      <c r="D129" s="4">
        <f>'Outlook actuals from the ledger'!I57</f>
        <v>-21574</v>
      </c>
      <c r="E129" s="4">
        <f>'Outlook actuals from the ledger'!J57</f>
        <v>-23067</v>
      </c>
      <c r="F129" s="4">
        <f>'Outlook actuals from the ledger'!K57</f>
        <v>-22346</v>
      </c>
      <c r="G129" s="4">
        <f>'Outlook actuals from the ledger'!L57</f>
        <v>-29960</v>
      </c>
      <c r="H129" s="4">
        <f>'Outlook actuals from the ledger'!M57</f>
        <v>-29960</v>
      </c>
    </row>
    <row r="130">
      <c r="A130" s="0"/>
      <c r="B130" s="0"/>
      <c r="C130" s="0" t="inlineStr">
        <is>
          <t xml:space="preserve">Commissions</t>
        </is>
      </c>
      <c r="D130" s="8">
        <f>'Outlook actuals from the ledger'!I69</f>
        <v>-87211</v>
      </c>
      <c r="E130" s="8">
        <f>'Outlook actuals from the ledger'!J69</f>
        <v>-86310</v>
      </c>
      <c r="F130" s="8">
        <f>'Outlook actuals from the ledger'!K69</f>
        <v>-90652</v>
      </c>
      <c r="G130" s="8">
        <f>'Outlook actuals from the ledger'!L69</f>
        <v>-93082.392257</v>
      </c>
      <c r="H130" s="8">
        <f>'Outlook actuals from the ledger'!M69</f>
        <v>-94850.95770988298</v>
      </c>
    </row>
    <row r="131">
      <c r="A131" s="0"/>
      <c r="B131" s="0"/>
      <c r="C131" s="0" t="inlineStr">
        <is>
          <t xml:space="preserve">Contractors</t>
        </is>
      </c>
      <c r="D131" s="4">
        <f>'Outlook actuals from the ledger'!I81</f>
        <v>0</v>
      </c>
      <c r="E131" s="4">
        <f>'Outlook actuals from the ledger'!J81</f>
        <v>0</v>
      </c>
      <c r="F131" s="4">
        <f>'Outlook actuals from the ledger'!K81</f>
        <v>0</v>
      </c>
      <c r="G131" s="4">
        <f>'Outlook actuals from the ledger'!L81</f>
        <v>0</v>
      </c>
      <c r="H131" s="4">
        <f>'Outlook actuals from the ledger'!M81</f>
        <v>0</v>
      </c>
    </row>
    <row r="132">
      <c r="A132" s="0"/>
      <c r="B132" s="0"/>
      <c r="C132" s="0" t="inlineStr">
        <is>
          <t xml:space="preserve">Cloud and infrastructure</t>
        </is>
      </c>
      <c r="D132" s="4">
        <f>'Outlook actuals from the ledger'!I93</f>
        <v>0</v>
      </c>
      <c r="E132" s="4">
        <f>'Outlook actuals from the ledger'!J93</f>
        <v>0</v>
      </c>
      <c r="F132" s="4">
        <f>'Outlook actuals from the ledger'!K93</f>
        <v>0</v>
      </c>
      <c r="G132" s="4">
        <f>'Outlook actuals from the ledger'!L93</f>
        <v>0</v>
      </c>
      <c r="H132" s="4">
        <f>'Outlook actuals from the ledger'!M93</f>
        <v>0</v>
      </c>
    </row>
    <row r="133">
      <c r="A133" s="0"/>
      <c r="B133" s="0"/>
      <c r="C133" s="0" t="inlineStr">
        <is>
          <t xml:space="preserve">Marketing programs</t>
        </is>
      </c>
      <c r="D133" s="4">
        <f>'Outlook actuals from the ledger'!I105</f>
        <v>0</v>
      </c>
      <c r="E133" s="4">
        <f>'Outlook actuals from the ledger'!J105</f>
        <v>0</v>
      </c>
      <c r="F133" s="4">
        <f>'Outlook actuals from the ledger'!K105</f>
        <v>0</v>
      </c>
      <c r="G133" s="4">
        <f>'Outlook actuals from the ledger'!L105</f>
        <v>0</v>
      </c>
      <c r="H133" s="4">
        <f>'Outlook actuals from the ledger'!M105</f>
        <v>0</v>
      </c>
    </row>
    <row r="134">
      <c r="A134" s="0"/>
      <c r="B134" s="0"/>
      <c r="C134" s="0" t="inlineStr">
        <is>
          <t xml:space="preserve">Software and tools</t>
        </is>
      </c>
      <c r="D134" s="8">
        <f>'Outlook actuals from the ledger'!I117</f>
        <v>-3574</v>
      </c>
      <c r="E134" s="8">
        <f>'Outlook actuals from the ledger'!J117</f>
        <v>-3992</v>
      </c>
      <c r="F134" s="8">
        <f>'Outlook actuals from the ledger'!K117</f>
        <v>-3946</v>
      </c>
      <c r="G134" s="8">
        <f>'Outlook actuals from the ledger'!L117</f>
        <v>-3969.676</v>
      </c>
      <c r="H134" s="8">
        <f>'Outlook actuals from the ledger'!M117</f>
        <v>-3993.494056</v>
      </c>
    </row>
    <row r="135">
      <c r="A135" s="0"/>
      <c r="B135" s="0"/>
      <c r="C135" s="0" t="inlineStr">
        <is>
          <t xml:space="preserve">Travel and events</t>
        </is>
      </c>
      <c r="D135" s="8">
        <f>'Outlook actuals from the ledger'!I129</f>
        <v>-16095</v>
      </c>
      <c r="E135" s="8">
        <f>'Outlook actuals from the ledger'!J129</f>
        <v>-16445</v>
      </c>
      <c r="F135" s="8">
        <f>'Outlook actuals from the ledger'!K129</f>
        <v>-17811</v>
      </c>
      <c r="G135" s="8">
        <f>'Outlook actuals from the ledger'!L129</f>
        <v>-17917.866</v>
      </c>
      <c r="H135" s="8">
        <f>'Outlook actuals from the ledger'!M129</f>
        <v>-18025.373196</v>
      </c>
    </row>
    <row r="136">
      <c r="A136" s="0"/>
      <c r="B136" s="0"/>
      <c r="C136" s="0" t="inlineStr">
        <is>
          <t xml:space="preserve">Rent and facilities</t>
        </is>
      </c>
      <c r="D136" s="4">
        <f>'Outlook actuals from the ledger'!I141</f>
        <v>0</v>
      </c>
      <c r="E136" s="4">
        <f>'Outlook actuals from the ledger'!J141</f>
        <v>0</v>
      </c>
      <c r="F136" s="4">
        <f>'Outlook actuals from the ledger'!K141</f>
        <v>0</v>
      </c>
      <c r="G136" s="4">
        <f>'Outlook actuals from the ledger'!L141</f>
        <v>0</v>
      </c>
      <c r="H136" s="4">
        <f>'Outlook actuals from the ledger'!M141</f>
        <v>0</v>
      </c>
    </row>
    <row r="137">
      <c r="A137" s="0"/>
      <c r="B137" s="0"/>
      <c r="C137" s="0" t="inlineStr">
        <is>
          <t xml:space="preserve">Professional fees</t>
        </is>
      </c>
      <c r="D137" s="4">
        <f>'Outlook actuals from the ledger'!I153</f>
        <v>0</v>
      </c>
      <c r="E137" s="4">
        <f>'Outlook actuals from the ledger'!J153</f>
        <v>0</v>
      </c>
      <c r="F137" s="4">
        <f>'Outlook actuals from the ledger'!K153</f>
        <v>0</v>
      </c>
      <c r="G137" s="4">
        <f>'Outlook actuals from the ledger'!L153</f>
        <v>0</v>
      </c>
      <c r="H137" s="4">
        <f>'Outlook actuals from the ledger'!M153</f>
        <v>0</v>
      </c>
    </row>
    <row r="138">
      <c r="A138" s="0"/>
      <c r="B138" s="0"/>
      <c r="C138" s="0" t="inlineStr">
        <is>
          <t xml:space="preserve">Net</t>
        </is>
      </c>
      <c r="D138" s="8">
        <f>'Outlook actuals from the ledger'!I165</f>
        <v>-236103</v>
      </c>
      <c r="E138" s="8">
        <f>'Outlook actuals from the ledger'!J165</f>
        <v>-234200</v>
      </c>
      <c r="F138" s="8">
        <f>'Outlook actuals from the ledger'!K165</f>
        <v>-237293</v>
      </c>
      <c r="G138" s="8">
        <f>'Outlook actuals from the ledger'!L165</f>
        <v>-284929.9342569999</v>
      </c>
      <c r="H138" s="8">
        <f>'Outlook actuals from the ledger'!M165</f>
        <v>-286829.824961883</v>
      </c>
    </row>
    <row r="139">
      <c r="A139" s="0"/>
      <c r="B139" s="0" t="inlineStr">
        <is>
          <t xml:space="preserve">Marketing</t>
        </is>
      </c>
      <c r="C139" s="0" t="inlineStr">
        <is>
          <t xml:space="preserve">Revenue</t>
        </is>
      </c>
      <c r="D139" s="4">
        <f>'Outlook actuals from the ledger'!I10</f>
        <v>0</v>
      </c>
      <c r="E139" s="4">
        <f>'Outlook actuals from the ledger'!J10</f>
        <v>0</v>
      </c>
      <c r="F139" s="4">
        <f>'Outlook actuals from the ledger'!K10</f>
        <v>0</v>
      </c>
      <c r="G139" s="4">
        <f>'Outlook actuals from the ledger'!L10</f>
        <v>0</v>
      </c>
      <c r="H139" s="4">
        <f>'Outlook actuals from the ledger'!M10</f>
        <v>0</v>
      </c>
    </row>
    <row r="140">
      <c r="A140" s="0"/>
      <c r="B140" s="0"/>
      <c r="C140" s="0" t="inlineStr">
        <is>
          <t xml:space="preserve">Cost of revenue: hosting</t>
        </is>
      </c>
      <c r="D140" s="4">
        <f>'Outlook actuals from the ledger'!I22</f>
        <v>0</v>
      </c>
      <c r="E140" s="4">
        <f>'Outlook actuals from the ledger'!J22</f>
        <v>0</v>
      </c>
      <c r="F140" s="4">
        <f>'Outlook actuals from the ledger'!K22</f>
        <v>0</v>
      </c>
      <c r="G140" s="4">
        <f>'Outlook actuals from the ledger'!L22</f>
        <v>0</v>
      </c>
      <c r="H140" s="4">
        <f>'Outlook actuals from the ledger'!M22</f>
        <v>0</v>
      </c>
    </row>
    <row r="141">
      <c r="A141" s="0"/>
      <c r="B141" s="0"/>
      <c r="C141" s="0" t="inlineStr">
        <is>
          <t xml:space="preserve">Cost of revenue: support</t>
        </is>
      </c>
      <c r="D141" s="4">
        <f>'Outlook actuals from the ledger'!I34</f>
        <v>0</v>
      </c>
      <c r="E141" s="4">
        <f>'Outlook actuals from the ledger'!J34</f>
        <v>0</v>
      </c>
      <c r="F141" s="4">
        <f>'Outlook actuals from the ledger'!K34</f>
        <v>0</v>
      </c>
      <c r="G141" s="4">
        <f>'Outlook actuals from the ledger'!L34</f>
        <v>0</v>
      </c>
      <c r="H141" s="4">
        <f>'Outlook actuals from the ledger'!M34</f>
        <v>0</v>
      </c>
    </row>
    <row r="142">
      <c r="A142" s="0"/>
      <c r="B142" s="0"/>
      <c r="C142" s="0" t="inlineStr">
        <is>
          <t xml:space="preserve">Salaries</t>
        </is>
      </c>
      <c r="D142" s="4">
        <f>'Outlook actuals from the ledger'!I46</f>
        <v>-50528</v>
      </c>
      <c r="E142" s="4">
        <f>'Outlook actuals from the ledger'!J46</f>
        <v>-61037</v>
      </c>
      <c r="F142" s="4">
        <f>'Outlook actuals from the ledger'!K46</f>
        <v>-57649</v>
      </c>
      <c r="G142" s="4">
        <f>'Outlook actuals from the ledger'!L46</f>
        <v>-59500</v>
      </c>
      <c r="H142" s="4">
        <f>'Outlook actuals from the ledger'!M46</f>
        <v>-59500</v>
      </c>
    </row>
    <row r="143">
      <c r="A143" s="0"/>
      <c r="B143" s="0"/>
      <c r="C143" s="0" t="inlineStr">
        <is>
          <t xml:space="preserve">Benefits and payroll taxes</t>
        </is>
      </c>
      <c r="D143" s="4">
        <f>'Outlook actuals from the ledger'!I58</f>
        <v>-10641</v>
      </c>
      <c r="E143" s="4">
        <f>'Outlook actuals from the ledger'!J58</f>
        <v>-13564</v>
      </c>
      <c r="F143" s="4">
        <f>'Outlook actuals from the ledger'!K58</f>
        <v>-12349</v>
      </c>
      <c r="G143" s="4">
        <f>'Outlook actuals from the ledger'!L58</f>
        <v>-12733</v>
      </c>
      <c r="H143" s="4">
        <f>'Outlook actuals from the ledger'!M58</f>
        <v>-12733</v>
      </c>
    </row>
    <row r="144">
      <c r="A144" s="0"/>
      <c r="B144" s="0"/>
      <c r="C144" s="0" t="inlineStr">
        <is>
          <t xml:space="preserve">Commissions</t>
        </is>
      </c>
      <c r="D144" s="4">
        <f>'Outlook actuals from the ledger'!I70</f>
        <v>0</v>
      </c>
      <c r="E144" s="4">
        <f>'Outlook actuals from the ledger'!J70</f>
        <v>0</v>
      </c>
      <c r="F144" s="4">
        <f>'Outlook actuals from the ledger'!K70</f>
        <v>0</v>
      </c>
      <c r="G144" s="4">
        <f>'Outlook actuals from the ledger'!L70</f>
        <v>0</v>
      </c>
      <c r="H144" s="4">
        <f>'Outlook actuals from the ledger'!M70</f>
        <v>0</v>
      </c>
    </row>
    <row r="145">
      <c r="A145" s="0"/>
      <c r="B145" s="0"/>
      <c r="C145" s="0" t="inlineStr">
        <is>
          <t xml:space="preserve">Contractors</t>
        </is>
      </c>
      <c r="D145" s="4">
        <f>'Outlook actuals from the ledger'!I82</f>
        <v>0</v>
      </c>
      <c r="E145" s="4">
        <f>'Outlook actuals from the ledger'!J82</f>
        <v>0</v>
      </c>
      <c r="F145" s="4">
        <f>'Outlook actuals from the ledger'!K82</f>
        <v>0</v>
      </c>
      <c r="G145" s="4">
        <f>'Outlook actuals from the ledger'!L82</f>
        <v>0</v>
      </c>
      <c r="H145" s="4">
        <f>'Outlook actuals from the ledger'!M82</f>
        <v>0</v>
      </c>
    </row>
    <row r="146">
      <c r="A146" s="0"/>
      <c r="B146" s="0"/>
      <c r="C146" s="0" t="inlineStr">
        <is>
          <t xml:space="preserve">Cloud and infrastructure</t>
        </is>
      </c>
      <c r="D146" s="4">
        <f>'Outlook actuals from the ledger'!I94</f>
        <v>0</v>
      </c>
      <c r="E146" s="4">
        <f>'Outlook actuals from the ledger'!J94</f>
        <v>0</v>
      </c>
      <c r="F146" s="4">
        <f>'Outlook actuals from the ledger'!K94</f>
        <v>0</v>
      </c>
      <c r="G146" s="4">
        <f>'Outlook actuals from the ledger'!L94</f>
        <v>0</v>
      </c>
      <c r="H146" s="4">
        <f>'Outlook actuals from the ledger'!M94</f>
        <v>0</v>
      </c>
    </row>
    <row r="147">
      <c r="A147" s="0"/>
      <c r="B147" s="0"/>
      <c r="C147" s="0" t="inlineStr">
        <is>
          <t xml:space="preserve">Marketing programs</t>
        </is>
      </c>
      <c r="D147" s="8">
        <f>'Outlook actuals from the ledger'!I106</f>
        <v>-160773</v>
      </c>
      <c r="E147" s="8">
        <f>'Outlook actuals from the ledger'!J106</f>
        <v>-147070</v>
      </c>
      <c r="F147" s="8">
        <f>'Outlook actuals from the ledger'!K106</f>
        <v>-162995</v>
      </c>
      <c r="G147" s="8">
        <f>'Outlook actuals from the ledger'!L106</f>
        <v>-164379.54377299998</v>
      </c>
      <c r="H147" s="8">
        <f>'Outlook actuals from the ledger'!M106</f>
        <v>-167502.75510468698</v>
      </c>
    </row>
    <row r="148">
      <c r="A148" s="0"/>
      <c r="B148" s="0"/>
      <c r="C148" s="0" t="inlineStr">
        <is>
          <t xml:space="preserve">Software and tools</t>
        </is>
      </c>
      <c r="D148" s="8">
        <f>'Outlook actuals from the ledger'!I118</f>
        <v>-5662</v>
      </c>
      <c r="E148" s="8">
        <f>'Outlook actuals from the ledger'!J118</f>
        <v>-6372</v>
      </c>
      <c r="F148" s="8">
        <f>'Outlook actuals from the ledger'!K118</f>
        <v>-6233</v>
      </c>
      <c r="G148" s="8">
        <f>'Outlook actuals from the ledger'!L118</f>
        <v>-6270.398</v>
      </c>
      <c r="H148" s="8">
        <f>'Outlook actuals from the ledger'!M118</f>
        <v>-6308.020388</v>
      </c>
    </row>
    <row r="149">
      <c r="A149" s="0"/>
      <c r="B149" s="0"/>
      <c r="C149" s="0" t="inlineStr">
        <is>
          <t xml:space="preserve">Travel and events</t>
        </is>
      </c>
      <c r="D149" s="8">
        <f>'Outlook actuals from the ledger'!I130</f>
        <v>-5466</v>
      </c>
      <c r="E149" s="8">
        <f>'Outlook actuals from the ledger'!J130</f>
        <v>-4885</v>
      </c>
      <c r="F149" s="8">
        <f>'Outlook actuals from the ledger'!K130</f>
        <v>-5209</v>
      </c>
      <c r="G149" s="8">
        <f>'Outlook actuals from the ledger'!L130</f>
        <v>-5240.254</v>
      </c>
      <c r="H149" s="8">
        <f>'Outlook actuals from the ledger'!M130</f>
        <v>-5271.695524</v>
      </c>
    </row>
    <row r="150">
      <c r="A150" s="0"/>
      <c r="B150" s="0"/>
      <c r="C150" s="0" t="inlineStr">
        <is>
          <t xml:space="preserve">Rent and facilities</t>
        </is>
      </c>
      <c r="D150" s="4">
        <f>'Outlook actuals from the ledger'!I142</f>
        <v>0</v>
      </c>
      <c r="E150" s="4">
        <f>'Outlook actuals from the ledger'!J142</f>
        <v>0</v>
      </c>
      <c r="F150" s="4">
        <f>'Outlook actuals from the ledger'!K142</f>
        <v>0</v>
      </c>
      <c r="G150" s="4">
        <f>'Outlook actuals from the ledger'!L142</f>
        <v>0</v>
      </c>
      <c r="H150" s="4">
        <f>'Outlook actuals from the ledger'!M142</f>
        <v>0</v>
      </c>
    </row>
    <row r="151">
      <c r="A151" s="0"/>
      <c r="B151" s="0"/>
      <c r="C151" s="0" t="inlineStr">
        <is>
          <t xml:space="preserve">Professional fees</t>
        </is>
      </c>
      <c r="D151" s="4">
        <f>'Outlook actuals from the ledger'!I154</f>
        <v>0</v>
      </c>
      <c r="E151" s="4">
        <f>'Outlook actuals from the ledger'!J154</f>
        <v>0</v>
      </c>
      <c r="F151" s="4">
        <f>'Outlook actuals from the ledger'!K154</f>
        <v>0</v>
      </c>
      <c r="G151" s="4">
        <f>'Outlook actuals from the ledger'!L154</f>
        <v>0</v>
      </c>
      <c r="H151" s="4">
        <f>'Outlook actuals from the ledger'!M154</f>
        <v>0</v>
      </c>
    </row>
    <row r="152">
      <c r="A152" s="0"/>
      <c r="B152" s="0"/>
      <c r="C152" s="0" t="inlineStr">
        <is>
          <t xml:space="preserve">Net</t>
        </is>
      </c>
      <c r="D152" s="8">
        <f>'Outlook actuals from the ledger'!I166</f>
        <v>-233070</v>
      </c>
      <c r="E152" s="8">
        <f>'Outlook actuals from the ledger'!J166</f>
        <v>-232928</v>
      </c>
      <c r="F152" s="8">
        <f>'Outlook actuals from the ledger'!K166</f>
        <v>-244435</v>
      </c>
      <c r="G152" s="8">
        <f>'Outlook actuals from the ledger'!L166</f>
        <v>-248123.19577299996</v>
      </c>
      <c r="H152" s="8">
        <f>'Outlook actuals from the ledger'!M166</f>
        <v>-251315.471016687</v>
      </c>
    </row>
    <row r="153">
      <c r="A153" s="0"/>
      <c r="B153" s="0" t="inlineStr">
        <is>
          <t xml:space="preserve">Engineering</t>
        </is>
      </c>
      <c r="C153" s="0" t="inlineStr">
        <is>
          <t xml:space="preserve">Revenue</t>
        </is>
      </c>
      <c r="D153" s="4">
        <f>'Outlook actuals from the ledger'!I11</f>
        <v>0</v>
      </c>
      <c r="E153" s="4">
        <f>'Outlook actuals from the ledger'!J11</f>
        <v>0</v>
      </c>
      <c r="F153" s="4">
        <f>'Outlook actuals from the ledger'!K11</f>
        <v>0</v>
      </c>
      <c r="G153" s="4">
        <f>'Outlook actuals from the ledger'!L11</f>
        <v>0</v>
      </c>
      <c r="H153" s="4">
        <f>'Outlook actuals from the ledger'!M11</f>
        <v>0</v>
      </c>
    </row>
    <row r="154">
      <c r="A154" s="0"/>
      <c r="B154" s="0"/>
      <c r="C154" s="0" t="inlineStr">
        <is>
          <t xml:space="preserve">Cost of revenue: hosting</t>
        </is>
      </c>
      <c r="D154" s="4">
        <f>'Outlook actuals from the ledger'!I23</f>
        <v>0</v>
      </c>
      <c r="E154" s="4">
        <f>'Outlook actuals from the ledger'!J23</f>
        <v>0</v>
      </c>
      <c r="F154" s="4">
        <f>'Outlook actuals from the ledger'!K23</f>
        <v>0</v>
      </c>
      <c r="G154" s="4">
        <f>'Outlook actuals from the ledger'!L23</f>
        <v>0</v>
      </c>
      <c r="H154" s="4">
        <f>'Outlook actuals from the ledger'!M23</f>
        <v>0</v>
      </c>
    </row>
    <row r="155">
      <c r="A155" s="0"/>
      <c r="B155" s="0"/>
      <c r="C155" s="0" t="inlineStr">
        <is>
          <t xml:space="preserve">Cost of revenue: support</t>
        </is>
      </c>
      <c r="D155" s="4">
        <f>'Outlook actuals from the ledger'!I35</f>
        <v>0</v>
      </c>
      <c r="E155" s="4">
        <f>'Outlook actuals from the ledger'!J35</f>
        <v>0</v>
      </c>
      <c r="F155" s="4">
        <f>'Outlook actuals from the ledger'!K35</f>
        <v>0</v>
      </c>
      <c r="G155" s="4">
        <f>'Outlook actuals from the ledger'!L35</f>
        <v>0</v>
      </c>
      <c r="H155" s="4">
        <f>'Outlook actuals from the ledger'!M35</f>
        <v>0</v>
      </c>
    </row>
    <row r="156">
      <c r="A156" s="0"/>
      <c r="B156" s="0"/>
      <c r="C156" s="0" t="inlineStr">
        <is>
          <t xml:space="preserve">Salaries</t>
        </is>
      </c>
      <c r="D156" s="4">
        <f>'Outlook actuals from the ledger'!I47</f>
        <v>-271505</v>
      </c>
      <c r="E156" s="4">
        <f>'Outlook actuals from the ledger'!J47</f>
        <v>-330478</v>
      </c>
      <c r="F156" s="4">
        <f>'Outlook actuals from the ledger'!K47</f>
        <v>-274849</v>
      </c>
      <c r="G156" s="4">
        <f>'Outlook actuals from the ledger'!L47</f>
        <v>-337500</v>
      </c>
      <c r="H156" s="4">
        <f>'Outlook actuals from the ledger'!M47</f>
        <v>-337500</v>
      </c>
    </row>
    <row r="157">
      <c r="A157" s="0"/>
      <c r="B157" s="0"/>
      <c r="C157" s="0" t="inlineStr">
        <is>
          <t xml:space="preserve">Benefits and payroll taxes</t>
        </is>
      </c>
      <c r="D157" s="4">
        <f>'Outlook actuals from the ledger'!I59</f>
        <v>-60530</v>
      </c>
      <c r="E157" s="4">
        <f>'Outlook actuals from the ledger'!J59</f>
        <v>-60587</v>
      </c>
      <c r="F157" s="4">
        <f>'Outlook actuals from the ledger'!K59</f>
        <v>-55618</v>
      </c>
      <c r="G157" s="4">
        <f>'Outlook actuals from the ledger'!L59</f>
        <v>-72225</v>
      </c>
      <c r="H157" s="4">
        <f>'Outlook actuals from the ledger'!M59</f>
        <v>-72225</v>
      </c>
    </row>
    <row r="158">
      <c r="A158" s="0"/>
      <c r="B158" s="0"/>
      <c r="C158" s="0" t="inlineStr">
        <is>
          <t xml:space="preserve">Commissions</t>
        </is>
      </c>
      <c r="D158" s="4">
        <f>'Outlook actuals from the ledger'!I71</f>
        <v>0</v>
      </c>
      <c r="E158" s="4">
        <f>'Outlook actuals from the ledger'!J71</f>
        <v>0</v>
      </c>
      <c r="F158" s="4">
        <f>'Outlook actuals from the ledger'!K71</f>
        <v>0</v>
      </c>
      <c r="G158" s="4">
        <f>'Outlook actuals from the ledger'!L71</f>
        <v>0</v>
      </c>
      <c r="H158" s="4">
        <f>'Outlook actuals from the ledger'!M71</f>
        <v>0</v>
      </c>
    </row>
    <row r="159">
      <c r="A159" s="0"/>
      <c r="B159" s="0"/>
      <c r="C159" s="0" t="inlineStr">
        <is>
          <t xml:space="preserve">Contractors</t>
        </is>
      </c>
      <c r="D159" s="8">
        <f>'Outlook actuals from the ledger'!I83</f>
        <v>-26089</v>
      </c>
      <c r="E159" s="8">
        <f>'Outlook actuals from the ledger'!J83</f>
        <v>-25640</v>
      </c>
      <c r="F159" s="8">
        <f>'Outlook actuals from the ledger'!K83</f>
        <v>-25288</v>
      </c>
      <c r="G159" s="8">
        <f>'Outlook actuals from the ledger'!L83</f>
        <v>-25439.728</v>
      </c>
      <c r="H159" s="8">
        <f>'Outlook actuals from the ledger'!M83</f>
        <v>-25592.366368</v>
      </c>
    </row>
    <row r="160">
      <c r="A160" s="0"/>
      <c r="B160" s="0"/>
      <c r="C160" s="0" t="inlineStr">
        <is>
          <t xml:space="preserve">Cloud and infrastructure</t>
        </is>
      </c>
      <c r="D160" s="8">
        <f>'Outlook actuals from the ledger'!I95</f>
        <v>-178940</v>
      </c>
      <c r="E160" s="8">
        <f>'Outlook actuals from the ledger'!J95</f>
        <v>-157855</v>
      </c>
      <c r="F160" s="8">
        <f>'Outlook actuals from the ledger'!K95</f>
        <v>-163112</v>
      </c>
      <c r="G160" s="8">
        <f>'Outlook actuals from the ledger'!L95</f>
        <v>-176262.40235899997</v>
      </c>
      <c r="H160" s="8">
        <f>'Outlook actuals from the ledger'!M95</f>
        <v>-179611.38800382096</v>
      </c>
    </row>
    <row r="161">
      <c r="A161" s="0"/>
      <c r="B161" s="0"/>
      <c r="C161" s="0" t="inlineStr">
        <is>
          <t xml:space="preserve">Marketing programs</t>
        </is>
      </c>
      <c r="D161" s="4">
        <f>'Outlook actuals from the ledger'!I107</f>
        <v>0</v>
      </c>
      <c r="E161" s="4">
        <f>'Outlook actuals from the ledger'!J107</f>
        <v>0</v>
      </c>
      <c r="F161" s="4">
        <f>'Outlook actuals from the ledger'!K107</f>
        <v>0</v>
      </c>
      <c r="G161" s="4">
        <f>'Outlook actuals from the ledger'!L107</f>
        <v>0</v>
      </c>
      <c r="H161" s="4">
        <f>'Outlook actuals from the ledger'!M107</f>
        <v>0</v>
      </c>
    </row>
    <row r="162">
      <c r="A162" s="0"/>
      <c r="B162" s="0"/>
      <c r="C162" s="0" t="inlineStr">
        <is>
          <t xml:space="preserve">Software and tools</t>
        </is>
      </c>
      <c r="D162" s="8">
        <f>'Outlook actuals from the ledger'!I119</f>
        <v>-8953</v>
      </c>
      <c r="E162" s="8">
        <f>'Outlook actuals from the ledger'!J119</f>
        <v>-8800</v>
      </c>
      <c r="F162" s="8">
        <f>'Outlook actuals from the ledger'!K119</f>
        <v>-8774</v>
      </c>
      <c r="G162" s="8">
        <f>'Outlook actuals from the ledger'!L119</f>
        <v>-8826.644</v>
      </c>
      <c r="H162" s="8">
        <f>'Outlook actuals from the ledger'!M119</f>
        <v>-8879.603864</v>
      </c>
    </row>
    <row r="163">
      <c r="A163" s="0"/>
      <c r="B163" s="0"/>
      <c r="C163" s="0" t="inlineStr">
        <is>
          <t xml:space="preserve">Travel and events</t>
        </is>
      </c>
      <c r="D163" s="4">
        <f>'Outlook actuals from the ledger'!I131</f>
        <v>0</v>
      </c>
      <c r="E163" s="4">
        <f>'Outlook actuals from the ledger'!J131</f>
        <v>0</v>
      </c>
      <c r="F163" s="4">
        <f>'Outlook actuals from the ledger'!K131</f>
        <v>0</v>
      </c>
      <c r="G163" s="4">
        <f>'Outlook actuals from the ledger'!L131</f>
        <v>0</v>
      </c>
      <c r="H163" s="4">
        <f>'Outlook actuals from the ledger'!M131</f>
        <v>0</v>
      </c>
    </row>
    <row r="164">
      <c r="A164" s="0"/>
      <c r="B164" s="0"/>
      <c r="C164" s="0" t="inlineStr">
        <is>
          <t xml:space="preserve">Rent and facilities</t>
        </is>
      </c>
      <c r="D164" s="4">
        <f>'Outlook actuals from the ledger'!I143</f>
        <v>0</v>
      </c>
      <c r="E164" s="4">
        <f>'Outlook actuals from the ledger'!J143</f>
        <v>0</v>
      </c>
      <c r="F164" s="4">
        <f>'Outlook actuals from the ledger'!K143</f>
        <v>0</v>
      </c>
      <c r="G164" s="4">
        <f>'Outlook actuals from the ledger'!L143</f>
        <v>0</v>
      </c>
      <c r="H164" s="4">
        <f>'Outlook actuals from the ledger'!M143</f>
        <v>0</v>
      </c>
    </row>
    <row r="165">
      <c r="A165" s="0"/>
      <c r="B165" s="0"/>
      <c r="C165" s="0" t="inlineStr">
        <is>
          <t xml:space="preserve">Professional fees</t>
        </is>
      </c>
      <c r="D165" s="4">
        <f>'Outlook actuals from the ledger'!I155</f>
        <v>0</v>
      </c>
      <c r="E165" s="4">
        <f>'Outlook actuals from the ledger'!J155</f>
        <v>0</v>
      </c>
      <c r="F165" s="4">
        <f>'Outlook actuals from the ledger'!K155</f>
        <v>0</v>
      </c>
      <c r="G165" s="4">
        <f>'Outlook actuals from the ledger'!L155</f>
        <v>0</v>
      </c>
      <c r="H165" s="4">
        <f>'Outlook actuals from the ledger'!M155</f>
        <v>0</v>
      </c>
    </row>
    <row r="166">
      <c r="A166" s="0"/>
      <c r="B166" s="0"/>
      <c r="C166" s="0" t="inlineStr">
        <is>
          <t xml:space="preserve">Net</t>
        </is>
      </c>
      <c r="D166" s="8">
        <f>'Outlook actuals from the ledger'!I167</f>
        <v>-546017</v>
      </c>
      <c r="E166" s="8">
        <f>'Outlook actuals from the ledger'!J167</f>
        <v>-583360</v>
      </c>
      <c r="F166" s="8">
        <f>'Outlook actuals from the ledger'!K167</f>
        <v>-527641</v>
      </c>
      <c r="G166" s="8">
        <f>'Outlook actuals from the ledger'!L167</f>
        <v>-620253.7743589999</v>
      </c>
      <c r="H166" s="8">
        <f>'Outlook actuals from the ledger'!M167</f>
        <v>-623808.3582358209</v>
      </c>
    </row>
    <row r="167">
      <c r="A167" s="0"/>
      <c r="B167" s="0" t="inlineStr">
        <is>
          <t xml:space="preserve">Customer success</t>
        </is>
      </c>
      <c r="C167" s="0" t="inlineStr">
        <is>
          <t xml:space="preserve">Revenue</t>
        </is>
      </c>
      <c r="D167" s="4">
        <f>'Outlook actuals from the ledger'!I12</f>
        <v>0</v>
      </c>
      <c r="E167" s="4">
        <f>'Outlook actuals from the ledger'!J12</f>
        <v>0</v>
      </c>
      <c r="F167" s="4">
        <f>'Outlook actuals from the ledger'!K12</f>
        <v>0</v>
      </c>
      <c r="G167" s="4">
        <f>'Outlook actuals from the ledger'!L12</f>
        <v>0</v>
      </c>
      <c r="H167" s="4">
        <f>'Outlook actuals from the ledger'!M12</f>
        <v>0</v>
      </c>
    </row>
    <row r="168">
      <c r="A168" s="0"/>
      <c r="B168" s="0"/>
      <c r="C168" s="0" t="inlineStr">
        <is>
          <t xml:space="preserve">Cost of revenue: hosting</t>
        </is>
      </c>
      <c r="D168" s="4">
        <f>'Outlook actuals from the ledger'!I24</f>
        <v>0</v>
      </c>
      <c r="E168" s="4">
        <f>'Outlook actuals from the ledger'!J24</f>
        <v>0</v>
      </c>
      <c r="F168" s="4">
        <f>'Outlook actuals from the ledger'!K24</f>
        <v>0</v>
      </c>
      <c r="G168" s="4">
        <f>'Outlook actuals from the ledger'!L24</f>
        <v>0</v>
      </c>
      <c r="H168" s="4">
        <f>'Outlook actuals from the ledger'!M24</f>
        <v>0</v>
      </c>
    </row>
    <row r="169">
      <c r="A169" s="0"/>
      <c r="B169" s="0"/>
      <c r="C169" s="0" t="inlineStr">
        <is>
          <t xml:space="preserve">Cost of revenue: support</t>
        </is>
      </c>
      <c r="D169" s="4">
        <f>'Outlook actuals from the ledger'!I36</f>
        <v>0</v>
      </c>
      <c r="E169" s="4">
        <f>'Outlook actuals from the ledger'!J36</f>
        <v>0</v>
      </c>
      <c r="F169" s="4">
        <f>'Outlook actuals from the ledger'!K36</f>
        <v>0</v>
      </c>
      <c r="G169" s="4">
        <f>'Outlook actuals from the ledger'!L36</f>
        <v>0</v>
      </c>
      <c r="H169" s="4">
        <f>'Outlook actuals from the ledger'!M36</f>
        <v>0</v>
      </c>
    </row>
    <row r="170">
      <c r="A170" s="0"/>
      <c r="B170" s="0"/>
      <c r="C170" s="0" t="inlineStr">
        <is>
          <t xml:space="preserve">Salaries</t>
        </is>
      </c>
      <c r="D170" s="4">
        <f>'Outlook actuals from the ledger'!I48</f>
        <v>-46644</v>
      </c>
      <c r="E170" s="4">
        <f>'Outlook actuals from the ledger'!J48</f>
        <v>-47230</v>
      </c>
      <c r="F170" s="4">
        <f>'Outlook actuals from the ledger'!K48</f>
        <v>-47453</v>
      </c>
      <c r="G170" s="4">
        <f>'Outlook actuals from the ledger'!L48</f>
        <v>-47000</v>
      </c>
      <c r="H170" s="4">
        <f>'Outlook actuals from the ledger'!M48</f>
        <v>-47000</v>
      </c>
    </row>
    <row r="171">
      <c r="A171" s="0"/>
      <c r="B171" s="0"/>
      <c r="C171" s="0" t="inlineStr">
        <is>
          <t xml:space="preserve">Benefits and payroll taxes</t>
        </is>
      </c>
      <c r="D171" s="4">
        <f>'Outlook actuals from the ledger'!I60</f>
        <v>-9490</v>
      </c>
      <c r="E171" s="4">
        <f>'Outlook actuals from the ledger'!J60</f>
        <v>-10063</v>
      </c>
      <c r="F171" s="4">
        <f>'Outlook actuals from the ledger'!K60</f>
        <v>-10896</v>
      </c>
      <c r="G171" s="4">
        <f>'Outlook actuals from the ledger'!L60</f>
        <v>-10058</v>
      </c>
      <c r="H171" s="4">
        <f>'Outlook actuals from the ledger'!M60</f>
        <v>-10058</v>
      </c>
    </row>
    <row r="172">
      <c r="A172" s="0"/>
      <c r="B172" s="0"/>
      <c r="C172" s="0" t="inlineStr">
        <is>
          <t xml:space="preserve">Commissions</t>
        </is>
      </c>
      <c r="D172" s="4">
        <f>'Outlook actuals from the ledger'!I72</f>
        <v>0</v>
      </c>
      <c r="E172" s="4">
        <f>'Outlook actuals from the ledger'!J72</f>
        <v>0</v>
      </c>
      <c r="F172" s="4">
        <f>'Outlook actuals from the ledger'!K72</f>
        <v>0</v>
      </c>
      <c r="G172" s="4">
        <f>'Outlook actuals from the ledger'!L72</f>
        <v>0</v>
      </c>
      <c r="H172" s="4">
        <f>'Outlook actuals from the ledger'!M72</f>
        <v>0</v>
      </c>
    </row>
    <row r="173">
      <c r="A173" s="0"/>
      <c r="B173" s="0"/>
      <c r="C173" s="0" t="inlineStr">
        <is>
          <t xml:space="preserve">Contractors</t>
        </is>
      </c>
      <c r="D173" s="4">
        <f>'Outlook actuals from the ledger'!I84</f>
        <v>0</v>
      </c>
      <c r="E173" s="4">
        <f>'Outlook actuals from the ledger'!J84</f>
        <v>0</v>
      </c>
      <c r="F173" s="4">
        <f>'Outlook actuals from the ledger'!K84</f>
        <v>0</v>
      </c>
      <c r="G173" s="4">
        <f>'Outlook actuals from the ledger'!L84</f>
        <v>0</v>
      </c>
      <c r="H173" s="4">
        <f>'Outlook actuals from the ledger'!M84</f>
        <v>0</v>
      </c>
    </row>
    <row r="174">
      <c r="A174" s="0"/>
      <c r="B174" s="0"/>
      <c r="C174" s="0" t="inlineStr">
        <is>
          <t xml:space="preserve">Cloud and infrastructure</t>
        </is>
      </c>
      <c r="D174" s="4">
        <f>'Outlook actuals from the ledger'!I96</f>
        <v>0</v>
      </c>
      <c r="E174" s="4">
        <f>'Outlook actuals from the ledger'!J96</f>
        <v>0</v>
      </c>
      <c r="F174" s="4">
        <f>'Outlook actuals from the ledger'!K96</f>
        <v>0</v>
      </c>
      <c r="G174" s="4">
        <f>'Outlook actuals from the ledger'!L96</f>
        <v>0</v>
      </c>
      <c r="H174" s="4">
        <f>'Outlook actuals from the ledger'!M96</f>
        <v>0</v>
      </c>
    </row>
    <row r="175">
      <c r="A175" s="0"/>
      <c r="B175" s="0"/>
      <c r="C175" s="0" t="inlineStr">
        <is>
          <t xml:space="preserve">Marketing programs</t>
        </is>
      </c>
      <c r="D175" s="4">
        <f>'Outlook actuals from the ledger'!I108</f>
        <v>0</v>
      </c>
      <c r="E175" s="4">
        <f>'Outlook actuals from the ledger'!J108</f>
        <v>0</v>
      </c>
      <c r="F175" s="4">
        <f>'Outlook actuals from the ledger'!K108</f>
        <v>0</v>
      </c>
      <c r="G175" s="4">
        <f>'Outlook actuals from the ledger'!L108</f>
        <v>0</v>
      </c>
      <c r="H175" s="4">
        <f>'Outlook actuals from the ledger'!M108</f>
        <v>0</v>
      </c>
    </row>
    <row r="176">
      <c r="A176" s="0"/>
      <c r="B176" s="0"/>
      <c r="C176" s="0" t="inlineStr">
        <is>
          <t xml:space="preserve">Software and tools</t>
        </is>
      </c>
      <c r="D176" s="8">
        <f>'Outlook actuals from the ledger'!I120</f>
        <v>-2996</v>
      </c>
      <c r="E176" s="8">
        <f>'Outlook actuals from the ledger'!J120</f>
        <v>-2995</v>
      </c>
      <c r="F176" s="8">
        <f>'Outlook actuals from the ledger'!K120</f>
        <v>-3186</v>
      </c>
      <c r="G176" s="8">
        <f>'Outlook actuals from the ledger'!L120</f>
        <v>-3205.116</v>
      </c>
      <c r="H176" s="8">
        <f>'Outlook actuals from the ledger'!M120</f>
        <v>-3224.346696</v>
      </c>
    </row>
    <row r="177">
      <c r="A177" s="0"/>
      <c r="B177" s="0"/>
      <c r="C177" s="0" t="inlineStr">
        <is>
          <t xml:space="preserve">Travel and events</t>
        </is>
      </c>
      <c r="D177" s="8">
        <f>'Outlook actuals from the ledger'!I132</f>
        <v>-1716</v>
      </c>
      <c r="E177" s="8">
        <f>'Outlook actuals from the ledger'!J132</f>
        <v>-1593</v>
      </c>
      <c r="F177" s="8">
        <f>'Outlook actuals from the ledger'!K132</f>
        <v>-1696</v>
      </c>
      <c r="G177" s="8">
        <f>'Outlook actuals from the ledger'!L132</f>
        <v>-1706.176</v>
      </c>
      <c r="H177" s="8">
        <f>'Outlook actuals from the ledger'!M132</f>
        <v>-1716.4130559999999</v>
      </c>
    </row>
    <row r="178">
      <c r="A178" s="0"/>
      <c r="B178" s="0"/>
      <c r="C178" s="0" t="inlineStr">
        <is>
          <t xml:space="preserve">Rent and facilities</t>
        </is>
      </c>
      <c r="D178" s="4">
        <f>'Outlook actuals from the ledger'!I144</f>
        <v>0</v>
      </c>
      <c r="E178" s="4">
        <f>'Outlook actuals from the ledger'!J144</f>
        <v>0</v>
      </c>
      <c r="F178" s="4">
        <f>'Outlook actuals from the ledger'!K144</f>
        <v>0</v>
      </c>
      <c r="G178" s="4">
        <f>'Outlook actuals from the ledger'!L144</f>
        <v>0</v>
      </c>
      <c r="H178" s="4">
        <f>'Outlook actuals from the ledger'!M144</f>
        <v>0</v>
      </c>
    </row>
    <row r="179">
      <c r="A179" s="0"/>
      <c r="B179" s="0"/>
      <c r="C179" s="0" t="inlineStr">
        <is>
          <t xml:space="preserve">Professional fees</t>
        </is>
      </c>
      <c r="D179" s="4">
        <f>'Outlook actuals from the ledger'!I156</f>
        <v>0</v>
      </c>
      <c r="E179" s="4">
        <f>'Outlook actuals from the ledger'!J156</f>
        <v>0</v>
      </c>
      <c r="F179" s="4">
        <f>'Outlook actuals from the ledger'!K156</f>
        <v>0</v>
      </c>
      <c r="G179" s="4">
        <f>'Outlook actuals from the ledger'!L156</f>
        <v>0</v>
      </c>
      <c r="H179" s="4">
        <f>'Outlook actuals from the ledger'!M156</f>
        <v>0</v>
      </c>
    </row>
    <row r="180">
      <c r="A180" s="0"/>
      <c r="B180" s="0"/>
      <c r="C180" s="0" t="inlineStr">
        <is>
          <t xml:space="preserve">Net</t>
        </is>
      </c>
      <c r="D180" s="8">
        <f>'Outlook actuals from the ledger'!I168</f>
        <v>-60846</v>
      </c>
      <c r="E180" s="8">
        <f>'Outlook actuals from the ledger'!J168</f>
        <v>-61881</v>
      </c>
      <c r="F180" s="8">
        <f>'Outlook actuals from the ledger'!K168</f>
        <v>-63231</v>
      </c>
      <c r="G180" s="8">
        <f>'Outlook actuals from the ledger'!L168</f>
        <v>-61969.292</v>
      </c>
      <c r="H180" s="8">
        <f>'Outlook actuals from the ledger'!M168</f>
        <v>-61998.759752</v>
      </c>
    </row>
    <row r="181">
      <c r="A181" s="0"/>
      <c r="B181" s="0" t="inlineStr">
        <is>
          <t xml:space="preserve">G&amp;A</t>
        </is>
      </c>
      <c r="C181" s="0" t="inlineStr">
        <is>
          <t xml:space="preserve">Revenue</t>
        </is>
      </c>
      <c r="D181" s="4">
        <f>'Outlook actuals from the ledger'!I13</f>
        <v>0</v>
      </c>
      <c r="E181" s="4">
        <f>'Outlook actuals from the ledger'!J13</f>
        <v>0</v>
      </c>
      <c r="F181" s="4">
        <f>'Outlook actuals from the ledger'!K13</f>
        <v>0</v>
      </c>
      <c r="G181" s="4">
        <f>'Outlook actuals from the ledger'!L13</f>
        <v>0</v>
      </c>
      <c r="H181" s="4">
        <f>'Outlook actuals from the ledger'!M13</f>
        <v>0</v>
      </c>
    </row>
    <row r="182">
      <c r="A182" s="0"/>
      <c r="B182" s="0"/>
      <c r="C182" s="0" t="inlineStr">
        <is>
          <t xml:space="preserve">Cost of revenue: hosting</t>
        </is>
      </c>
      <c r="D182" s="4">
        <f>'Outlook actuals from the ledger'!I25</f>
        <v>0</v>
      </c>
      <c r="E182" s="4">
        <f>'Outlook actuals from the ledger'!J25</f>
        <v>0</v>
      </c>
      <c r="F182" s="4">
        <f>'Outlook actuals from the ledger'!K25</f>
        <v>0</v>
      </c>
      <c r="G182" s="4">
        <f>'Outlook actuals from the ledger'!L25</f>
        <v>0</v>
      </c>
      <c r="H182" s="4">
        <f>'Outlook actuals from the ledger'!M25</f>
        <v>0</v>
      </c>
    </row>
    <row r="183">
      <c r="A183" s="0"/>
      <c r="B183" s="0"/>
      <c r="C183" s="0" t="inlineStr">
        <is>
          <t xml:space="preserve">Cost of revenue: support</t>
        </is>
      </c>
      <c r="D183" s="4">
        <f>'Outlook actuals from the ledger'!I37</f>
        <v>0</v>
      </c>
      <c r="E183" s="4">
        <f>'Outlook actuals from the ledger'!J37</f>
        <v>0</v>
      </c>
      <c r="F183" s="4">
        <f>'Outlook actuals from the ledger'!K37</f>
        <v>0</v>
      </c>
      <c r="G183" s="4">
        <f>'Outlook actuals from the ledger'!L37</f>
        <v>0</v>
      </c>
      <c r="H183" s="4">
        <f>'Outlook actuals from the ledger'!M37</f>
        <v>0</v>
      </c>
    </row>
    <row r="184">
      <c r="A184" s="0"/>
      <c r="B184" s="0"/>
      <c r="C184" s="0" t="inlineStr">
        <is>
          <t xml:space="preserve">Salaries</t>
        </is>
      </c>
      <c r="D184" s="8">
        <f>'Outlook actuals from the ledger'!I49</f>
        <v>-42749</v>
      </c>
      <c r="E184" s="8">
        <f>'Outlook actuals from the ledger'!J49</f>
        <v>-41177</v>
      </c>
      <c r="F184" s="8">
        <f>'Outlook actuals from the ledger'!K49</f>
        <v>-41301</v>
      </c>
      <c r="G184" s="8">
        <f>'Outlook actuals from the ledger'!L49</f>
        <v>-53333.333333333336</v>
      </c>
      <c r="H184" s="8">
        <f>'Outlook actuals from the ledger'!M49</f>
        <v>-53333.333333333336</v>
      </c>
    </row>
    <row r="185">
      <c r="A185" s="0"/>
      <c r="B185" s="0"/>
      <c r="C185" s="0" t="inlineStr">
        <is>
          <t xml:space="preserve">Benefits and payroll taxes</t>
        </is>
      </c>
      <c r="D185" s="8">
        <f>'Outlook actuals from the ledger'!I61</f>
        <v>-9291</v>
      </c>
      <c r="E185" s="8">
        <f>'Outlook actuals from the ledger'!J61</f>
        <v>-9259</v>
      </c>
      <c r="F185" s="8">
        <f>'Outlook actuals from the ledger'!K61</f>
        <v>-8929</v>
      </c>
      <c r="G185" s="8">
        <f>'Outlook actuals from the ledger'!L61</f>
        <v>-11413.333333333334</v>
      </c>
      <c r="H185" s="8">
        <f>'Outlook actuals from the ledger'!M61</f>
        <v>-11413.333333333334</v>
      </c>
    </row>
    <row r="186">
      <c r="A186" s="0"/>
      <c r="B186" s="0"/>
      <c r="C186" s="0" t="inlineStr">
        <is>
          <t xml:space="preserve">Commissions</t>
        </is>
      </c>
      <c r="D186" s="4">
        <f>'Outlook actuals from the ledger'!I73</f>
        <v>0</v>
      </c>
      <c r="E186" s="4">
        <f>'Outlook actuals from the ledger'!J73</f>
        <v>0</v>
      </c>
      <c r="F186" s="4">
        <f>'Outlook actuals from the ledger'!K73</f>
        <v>0</v>
      </c>
      <c r="G186" s="4">
        <f>'Outlook actuals from the ledger'!L73</f>
        <v>0</v>
      </c>
      <c r="H186" s="4">
        <f>'Outlook actuals from the ledger'!M73</f>
        <v>0</v>
      </c>
    </row>
    <row r="187">
      <c r="A187" s="0"/>
      <c r="B187" s="0"/>
      <c r="C187" s="0" t="inlineStr">
        <is>
          <t xml:space="preserve">Contractors</t>
        </is>
      </c>
      <c r="D187" s="4">
        <f>'Outlook actuals from the ledger'!I85</f>
        <v>0</v>
      </c>
      <c r="E187" s="4">
        <f>'Outlook actuals from the ledger'!J85</f>
        <v>0</v>
      </c>
      <c r="F187" s="4">
        <f>'Outlook actuals from the ledger'!K85</f>
        <v>0</v>
      </c>
      <c r="G187" s="4">
        <f>'Outlook actuals from the ledger'!L85</f>
        <v>0</v>
      </c>
      <c r="H187" s="4">
        <f>'Outlook actuals from the ledger'!M85</f>
        <v>0</v>
      </c>
    </row>
    <row r="188">
      <c r="A188" s="0"/>
      <c r="B188" s="0"/>
      <c r="C188" s="0" t="inlineStr">
        <is>
          <t xml:space="preserve">Cloud and infrastructure</t>
        </is>
      </c>
      <c r="D188" s="4">
        <f>'Outlook actuals from the ledger'!I97</f>
        <v>0</v>
      </c>
      <c r="E188" s="4">
        <f>'Outlook actuals from the ledger'!J97</f>
        <v>0</v>
      </c>
      <c r="F188" s="4">
        <f>'Outlook actuals from the ledger'!K97</f>
        <v>0</v>
      </c>
      <c r="G188" s="4">
        <f>'Outlook actuals from the ledger'!L97</f>
        <v>0</v>
      </c>
      <c r="H188" s="4">
        <f>'Outlook actuals from the ledger'!M97</f>
        <v>0</v>
      </c>
    </row>
    <row r="189">
      <c r="A189" s="0"/>
      <c r="B189" s="0"/>
      <c r="C189" s="0" t="inlineStr">
        <is>
          <t xml:space="preserve">Marketing programs</t>
        </is>
      </c>
      <c r="D189" s="4">
        <f>'Outlook actuals from the ledger'!I109</f>
        <v>0</v>
      </c>
      <c r="E189" s="4">
        <f>'Outlook actuals from the ledger'!J109</f>
        <v>0</v>
      </c>
      <c r="F189" s="4">
        <f>'Outlook actuals from the ledger'!K109</f>
        <v>0</v>
      </c>
      <c r="G189" s="4">
        <f>'Outlook actuals from the ledger'!L109</f>
        <v>0</v>
      </c>
      <c r="H189" s="4">
        <f>'Outlook actuals from the ledger'!M109</f>
        <v>0</v>
      </c>
    </row>
    <row r="190">
      <c r="A190" s="0"/>
      <c r="B190" s="0"/>
      <c r="C190" s="0" t="inlineStr">
        <is>
          <t xml:space="preserve">Software and tools</t>
        </is>
      </c>
      <c r="D190" s="8">
        <f>'Outlook actuals from the ledger'!I121</f>
        <v>-4740</v>
      </c>
      <c r="E190" s="8">
        <f>'Outlook actuals from the ledger'!J121</f>
        <v>-4712</v>
      </c>
      <c r="F190" s="8">
        <f>'Outlook actuals from the ledger'!K121</f>
        <v>-5021</v>
      </c>
      <c r="G190" s="8">
        <f>'Outlook actuals from the ledger'!L121</f>
        <v>-5051.126</v>
      </c>
      <c r="H190" s="8">
        <f>'Outlook actuals from the ledger'!M121</f>
        <v>-5081.432756</v>
      </c>
    </row>
    <row r="191">
      <c r="A191" s="0"/>
      <c r="B191" s="0"/>
      <c r="C191" s="0" t="inlineStr">
        <is>
          <t xml:space="preserve">Travel and events</t>
        </is>
      </c>
      <c r="D191" s="8">
        <f>'Outlook actuals from the ledger'!I133</f>
        <v>-2729</v>
      </c>
      <c r="E191" s="8">
        <f>'Outlook actuals from the ledger'!J133</f>
        <v>-2553</v>
      </c>
      <c r="F191" s="8">
        <f>'Outlook actuals from the ledger'!K133</f>
        <v>-2526</v>
      </c>
      <c r="G191" s="8">
        <f>'Outlook actuals from the ledger'!L133</f>
        <v>-2541.156</v>
      </c>
      <c r="H191" s="8">
        <f>'Outlook actuals from the ledger'!M133</f>
        <v>-2556.402936</v>
      </c>
    </row>
    <row r="192">
      <c r="A192" s="0"/>
      <c r="B192" s="0"/>
      <c r="C192" s="0" t="inlineStr">
        <is>
          <t xml:space="preserve">Rent and facilities</t>
        </is>
      </c>
      <c r="D192" s="8">
        <f>'Outlook actuals from the ledger'!I145</f>
        <v>-38169</v>
      </c>
      <c r="E192" s="8">
        <f>'Outlook actuals from the ledger'!J145</f>
        <v>-38377</v>
      </c>
      <c r="F192" s="8">
        <f>'Outlook actuals from the ledger'!K145</f>
        <v>-33263</v>
      </c>
      <c r="G192" s="8">
        <f>'Outlook actuals from the ledger'!L145</f>
        <v>-33462.578</v>
      </c>
      <c r="H192" s="8">
        <f>'Outlook actuals from the ledger'!M145</f>
        <v>-33663.353468</v>
      </c>
    </row>
    <row r="193">
      <c r="A193" s="0"/>
      <c r="B193" s="0"/>
      <c r="C193" s="0" t="inlineStr">
        <is>
          <t xml:space="preserve">Professional fees</t>
        </is>
      </c>
      <c r="D193" s="8">
        <f>'Outlook actuals from the ledger'!I157</f>
        <v>-15632</v>
      </c>
      <c r="E193" s="8">
        <f>'Outlook actuals from the ledger'!J157</f>
        <v>-15403</v>
      </c>
      <c r="F193" s="8">
        <f>'Outlook actuals from the ledger'!K157</f>
        <v>-14228</v>
      </c>
      <c r="G193" s="8">
        <f>'Outlook actuals from the ledger'!L157</f>
        <v>-14313.368</v>
      </c>
      <c r="H193" s="8">
        <f>'Outlook actuals from the ledger'!M157</f>
        <v>-14399.248208</v>
      </c>
    </row>
    <row r="194">
      <c r="A194" s="0"/>
      <c r="B194" s="0"/>
      <c r="C194" s="0" t="inlineStr">
        <is>
          <t xml:space="preserve">Net</t>
        </is>
      </c>
      <c r="D194" s="8">
        <f>'Outlook actuals from the ledger'!I169</f>
        <v>-113310</v>
      </c>
      <c r="E194" s="8">
        <f>'Outlook actuals from the ledger'!J169</f>
        <v>-111481</v>
      </c>
      <c r="F194" s="8">
        <f>'Outlook actuals from the ledger'!K169</f>
        <v>-105268</v>
      </c>
      <c r="G194" s="8">
        <f>'Outlook actuals from the ledger'!L169</f>
        <v>-120114.89466666667</v>
      </c>
      <c r="H194" s="8">
        <f>'Outlook actuals from the ledger'!M169</f>
        <v>-120447.10403466667</v>
      </c>
    </row>
    <row r="196">
      <c r="A196" s="1" t="inlineStr">
        <is>
          <t xml:space="preserve">Budget by account (edit any cell)</t>
        </is>
      </c>
      <c r="B196" s="3" t="inlineStr">
        <is>
          <t xml:space="preserve">Inputs: edit the blue cells on the 'Budget (annual operating plan)' sheet; this table follows them.</t>
        </is>
      </c>
    </row>
    <row r="197">
      <c r="A197" s="1" t="inlineStr">
        <is>
          <t xml:space="preserve">subsidiary</t>
        </is>
      </c>
      <c r="B197" s="1" t="inlineStr">
        <is>
          <t xml:space="preserve">department</t>
        </is>
      </c>
      <c r="C197" s="1" t="inlineStr">
        <is>
          <t xml:space="preserve">line</t>
        </is>
      </c>
      <c r="D197" s="1" t="inlineStr">
        <is>
          <t xml:space="preserve">Jun-26</t>
        </is>
      </c>
      <c r="E197" s="1" t="inlineStr">
        <is>
          <t xml:space="preserve">Jul-26</t>
        </is>
      </c>
      <c r="F197" s="1" t="inlineStr">
        <is>
          <t xml:space="preserve">Aug-26</t>
        </is>
      </c>
      <c r="G197" s="1" t="inlineStr">
        <is>
          <t xml:space="preserve">Sep-26</t>
        </is>
      </c>
      <c r="H197" s="1" t="inlineStr">
        <is>
          <t xml:space="preserve">Oct-26</t>
        </is>
      </c>
    </row>
    <row r="198">
      <c r="A198" s="0" t="inlineStr">
        <is>
          <t xml:space="preserve">United States</t>
        </is>
      </c>
      <c r="B198" s="0" t="inlineStr">
        <is>
          <t xml:space="preserve">Company (revenue and cost of revenue)</t>
        </is>
      </c>
      <c r="C198" s="0" t="inlineStr">
        <is>
          <t xml:space="preserve">Revenue</t>
        </is>
      </c>
      <c r="D198" s="4">
        <f>'Budget (annual operating plan)'!I2</f>
        <v>4859400</v>
      </c>
      <c r="E198" s="4">
        <f>'Budget (annual operating plan)'!J2</f>
        <v>4688900</v>
      </c>
      <c r="F198" s="4">
        <f>'Budget (annual operating plan)'!K2</f>
        <v>4752500</v>
      </c>
      <c r="G198" s="4">
        <f>'Budget (annual operating plan)'!L2</f>
        <v>5117400</v>
      </c>
      <c r="H198" s="4">
        <f>'Budget (annual operating plan)'!M2</f>
        <v>5188800</v>
      </c>
    </row>
    <row r="199">
      <c r="A199" s="0"/>
      <c r="B199" s="0"/>
      <c r="C199" s="0" t="inlineStr">
        <is>
          <t xml:space="preserve">Cost of revenue: hosting</t>
        </is>
      </c>
      <c r="D199" s="4">
        <f>'Budget (annual operating plan)'!I14</f>
        <v>-534500</v>
      </c>
      <c r="E199" s="4">
        <f>'Budget (annual operating plan)'!J14</f>
        <v>-515800</v>
      </c>
      <c r="F199" s="4">
        <f>'Budget (annual operating plan)'!K14</f>
        <v>-522800</v>
      </c>
      <c r="G199" s="4">
        <f>'Budget (annual operating plan)'!L14</f>
        <v>-562900</v>
      </c>
      <c r="H199" s="4">
        <f>'Budget (annual operating plan)'!M14</f>
        <v>-570800</v>
      </c>
    </row>
    <row r="200">
      <c r="A200" s="0"/>
      <c r="B200" s="0"/>
      <c r="C200" s="0" t="inlineStr">
        <is>
          <t xml:space="preserve">Cost of revenue: support</t>
        </is>
      </c>
      <c r="D200" s="4">
        <f>'Budget (annual operating plan)'!I26</f>
        <v>-243000</v>
      </c>
      <c r="E200" s="4">
        <f>'Budget (annual operating plan)'!J26</f>
        <v>-234400</v>
      </c>
      <c r="F200" s="4">
        <f>'Budget (annual operating plan)'!K26</f>
        <v>-237600</v>
      </c>
      <c r="G200" s="4">
        <f>'Budget (annual operating plan)'!L26</f>
        <v>-255900</v>
      </c>
      <c r="H200" s="4">
        <f>'Budget (annual operating plan)'!M26</f>
        <v>-259400</v>
      </c>
    </row>
    <row r="201">
      <c r="A201" s="0"/>
      <c r="B201" s="0"/>
      <c r="C201" s="0" t="inlineStr">
        <is>
          <t xml:space="preserve">Salaries</t>
        </is>
      </c>
      <c r="D201" s="4">
        <f>'Budget (annual operating plan)'!I38</f>
      </c>
      <c r="E201" s="4">
        <f>'Budget (annual operating plan)'!J38</f>
      </c>
      <c r="F201" s="4">
        <f>'Budget (annual operating plan)'!K38</f>
      </c>
      <c r="G201" s="4">
        <f>'Budget (annual operating plan)'!L38</f>
      </c>
      <c r="H201" s="4">
        <f>'Budget (annual operating plan)'!M38</f>
      </c>
    </row>
    <row r="202">
      <c r="A202" s="0"/>
      <c r="B202" s="0"/>
      <c r="C202" s="0" t="inlineStr">
        <is>
          <t xml:space="preserve">Benefits and payroll taxes</t>
        </is>
      </c>
      <c r="D202" s="4">
        <f>'Budget (annual operating plan)'!I50</f>
      </c>
      <c r="E202" s="4">
        <f>'Budget (annual operating plan)'!J50</f>
      </c>
      <c r="F202" s="4">
        <f>'Budget (annual operating plan)'!K50</f>
      </c>
      <c r="G202" s="4">
        <f>'Budget (annual operating plan)'!L50</f>
      </c>
      <c r="H202" s="4">
        <f>'Budget (annual operating plan)'!M50</f>
      </c>
    </row>
    <row r="203">
      <c r="A203" s="0"/>
      <c r="B203" s="0"/>
      <c r="C203" s="0" t="inlineStr">
        <is>
          <t xml:space="preserve">Commissions</t>
        </is>
      </c>
      <c r="D203" s="4">
        <f>'Budget (annual operating plan)'!I62</f>
      </c>
      <c r="E203" s="4">
        <f>'Budget (annual operating plan)'!J62</f>
      </c>
      <c r="F203" s="4">
        <f>'Budget (annual operating plan)'!K62</f>
      </c>
      <c r="G203" s="4">
        <f>'Budget (annual operating plan)'!L62</f>
      </c>
      <c r="H203" s="4">
        <f>'Budget (annual operating plan)'!M62</f>
      </c>
    </row>
    <row r="204">
      <c r="A204" s="0"/>
      <c r="B204" s="0"/>
      <c r="C204" s="0" t="inlineStr">
        <is>
          <t xml:space="preserve">Contractors</t>
        </is>
      </c>
      <c r="D204" s="4">
        <f>'Budget (annual operating plan)'!I74</f>
      </c>
      <c r="E204" s="4">
        <f>'Budget (annual operating plan)'!J74</f>
      </c>
      <c r="F204" s="4">
        <f>'Budget (annual operating plan)'!K74</f>
      </c>
      <c r="G204" s="4">
        <f>'Budget (annual operating plan)'!L74</f>
      </c>
      <c r="H204" s="4">
        <f>'Budget (annual operating plan)'!M74</f>
      </c>
    </row>
    <row r="205">
      <c r="A205" s="0"/>
      <c r="B205" s="0"/>
      <c r="C205" s="0" t="inlineStr">
        <is>
          <t xml:space="preserve">Cloud and infrastructure</t>
        </is>
      </c>
      <c r="D205" s="4">
        <f>'Budget (annual operating plan)'!I86</f>
      </c>
      <c r="E205" s="4">
        <f>'Budget (annual operating plan)'!J86</f>
      </c>
      <c r="F205" s="4">
        <f>'Budget (annual operating plan)'!K86</f>
      </c>
      <c r="G205" s="4">
        <f>'Budget (annual operating plan)'!L86</f>
      </c>
      <c r="H205" s="4">
        <f>'Budget (annual operating plan)'!M86</f>
      </c>
    </row>
    <row r="206">
      <c r="A206" s="0"/>
      <c r="B206" s="0"/>
      <c r="C206" s="0" t="inlineStr">
        <is>
          <t xml:space="preserve">Marketing programs</t>
        </is>
      </c>
      <c r="D206" s="4">
        <f>'Budget (annual operating plan)'!I98</f>
      </c>
      <c r="E206" s="4">
        <f>'Budget (annual operating plan)'!J98</f>
      </c>
      <c r="F206" s="4">
        <f>'Budget (annual operating plan)'!K98</f>
      </c>
      <c r="G206" s="4">
        <f>'Budget (annual operating plan)'!L98</f>
      </c>
      <c r="H206" s="4">
        <f>'Budget (annual operating plan)'!M98</f>
      </c>
    </row>
    <row r="207">
      <c r="A207" s="0"/>
      <c r="B207" s="0"/>
      <c r="C207" s="0" t="inlineStr">
        <is>
          <t xml:space="preserve">Software and tools</t>
        </is>
      </c>
      <c r="D207" s="4">
        <f>'Budget (annual operating plan)'!I110</f>
      </c>
      <c r="E207" s="4">
        <f>'Budget (annual operating plan)'!J110</f>
      </c>
      <c r="F207" s="4">
        <f>'Budget (annual operating plan)'!K110</f>
      </c>
      <c r="G207" s="4">
        <f>'Budget (annual operating plan)'!L110</f>
      </c>
      <c r="H207" s="4">
        <f>'Budget (annual operating plan)'!M110</f>
      </c>
    </row>
    <row r="208">
      <c r="A208" s="0"/>
      <c r="B208" s="0"/>
      <c r="C208" s="0" t="inlineStr">
        <is>
          <t xml:space="preserve">Travel and events</t>
        </is>
      </c>
      <c r="D208" s="4">
        <f>'Budget (annual operating plan)'!I122</f>
      </c>
      <c r="E208" s="4">
        <f>'Budget (annual operating plan)'!J122</f>
      </c>
      <c r="F208" s="4">
        <f>'Budget (annual operating plan)'!K122</f>
      </c>
      <c r="G208" s="4">
        <f>'Budget (annual operating plan)'!L122</f>
      </c>
      <c r="H208" s="4">
        <f>'Budget (annual operating plan)'!M122</f>
      </c>
    </row>
    <row r="209">
      <c r="A209" s="0"/>
      <c r="B209" s="0"/>
      <c r="C209" s="0" t="inlineStr">
        <is>
          <t xml:space="preserve">Rent and facilities</t>
        </is>
      </c>
      <c r="D209" s="4">
        <f>'Budget (annual operating plan)'!I134</f>
      </c>
      <c r="E209" s="4">
        <f>'Budget (annual operating plan)'!J134</f>
      </c>
      <c r="F209" s="4">
        <f>'Budget (annual operating plan)'!K134</f>
      </c>
      <c r="G209" s="4">
        <f>'Budget (annual operating plan)'!L134</f>
      </c>
      <c r="H209" s="4">
        <f>'Budget (annual operating plan)'!M134</f>
      </c>
    </row>
    <row r="210">
      <c r="A210" s="0"/>
      <c r="B210" s="0"/>
      <c r="C210" s="0" t="inlineStr">
        <is>
          <t xml:space="preserve">Professional fees</t>
        </is>
      </c>
      <c r="D210" s="4">
        <f>'Budget (annual operating plan)'!I146</f>
      </c>
      <c r="E210" s="4">
        <f>'Budget (annual operating plan)'!J146</f>
      </c>
      <c r="F210" s="4">
        <f>'Budget (annual operating plan)'!K146</f>
      </c>
      <c r="G210" s="4">
        <f>'Budget (annual operating plan)'!L146</f>
      </c>
      <c r="H210" s="4">
        <f>'Budget (annual operating plan)'!M146</f>
      </c>
    </row>
    <row r="211">
      <c r="A211" s="0"/>
      <c r="B211" s="0"/>
      <c r="C211" s="0" t="inlineStr">
        <is>
          <t xml:space="preserve">Net</t>
        </is>
      </c>
      <c r="D211" s="4">
        <f>'Budget (annual operating plan)'!I158</f>
        <v>4081900</v>
      </c>
      <c r="E211" s="4">
        <f>'Budget (annual operating plan)'!J158</f>
        <v>3938700</v>
      </c>
      <c r="F211" s="4">
        <f>'Budget (annual operating plan)'!K158</f>
        <v>3992100</v>
      </c>
      <c r="G211" s="4">
        <f>'Budget (annual operating plan)'!L158</f>
        <v>4298600</v>
      </c>
      <c r="H211" s="4">
        <f>'Budget (annual operating plan)'!M158</f>
        <v>4358600</v>
      </c>
    </row>
    <row r="212">
      <c r="A212" s="0"/>
      <c r="B212" s="0" t="inlineStr">
        <is>
          <t xml:space="preserve">Sales</t>
        </is>
      </c>
      <c r="C212" s="0" t="inlineStr">
        <is>
          <t xml:space="preserve">Revenue</t>
        </is>
      </c>
      <c r="D212" s="4">
        <f>'Budget (annual operating plan)'!I3</f>
      </c>
      <c r="E212" s="4">
        <f>'Budget (annual operating plan)'!J3</f>
      </c>
      <c r="F212" s="4">
        <f>'Budget (annual operating plan)'!K3</f>
      </c>
      <c r="G212" s="4">
        <f>'Budget (annual operating plan)'!L3</f>
      </c>
      <c r="H212" s="4">
        <f>'Budget (annual operating plan)'!M3</f>
      </c>
    </row>
    <row r="213">
      <c r="A213" s="0"/>
      <c r="B213" s="0"/>
      <c r="C213" s="0" t="inlineStr">
        <is>
          <t xml:space="preserve">Cost of revenue: hosting</t>
        </is>
      </c>
      <c r="D213" s="4">
        <f>'Budget (annual operating plan)'!I15</f>
      </c>
      <c r="E213" s="4">
        <f>'Budget (annual operating plan)'!J15</f>
      </c>
      <c r="F213" s="4">
        <f>'Budget (annual operating plan)'!K15</f>
      </c>
      <c r="G213" s="4">
        <f>'Budget (annual operating plan)'!L15</f>
      </c>
      <c r="H213" s="4">
        <f>'Budget (annual operating plan)'!M15</f>
      </c>
    </row>
    <row r="214">
      <c r="A214" s="0"/>
      <c r="B214" s="0"/>
      <c r="C214" s="0" t="inlineStr">
        <is>
          <t xml:space="preserve">Cost of revenue: support</t>
        </is>
      </c>
      <c r="D214" s="4">
        <f>'Budget (annual operating plan)'!I27</f>
      </c>
      <c r="E214" s="4">
        <f>'Budget (annual operating plan)'!J27</f>
      </c>
      <c r="F214" s="4">
        <f>'Budget (annual operating plan)'!K27</f>
      </c>
      <c r="G214" s="4">
        <f>'Budget (annual operating plan)'!L27</f>
      </c>
      <c r="H214" s="4">
        <f>'Budget (annual operating plan)'!M27</f>
      </c>
    </row>
    <row r="215">
      <c r="A215" s="0"/>
      <c r="B215" s="0"/>
      <c r="C215" s="0" t="inlineStr">
        <is>
          <t xml:space="preserve">Salaries</t>
        </is>
      </c>
      <c r="D215" s="4">
        <f>'Budget (annual operating plan)'!I39</f>
        <v>-357500</v>
      </c>
      <c r="E215" s="4">
        <f>'Budget (annual operating plan)'!J39</f>
        <v>-357500</v>
      </c>
      <c r="F215" s="4">
        <f>'Budget (annual operating plan)'!K39</f>
        <v>-371200</v>
      </c>
      <c r="G215" s="4">
        <f>'Budget (annual operating plan)'!L39</f>
        <v>-398800</v>
      </c>
      <c r="H215" s="4">
        <f>'Budget (annual operating plan)'!M39</f>
        <v>-412500</v>
      </c>
    </row>
    <row r="216">
      <c r="A216" s="0"/>
      <c r="B216" s="0"/>
      <c r="C216" s="0" t="inlineStr">
        <is>
          <t xml:space="preserve">Benefits and payroll taxes</t>
        </is>
      </c>
      <c r="D216" s="4">
        <f>'Budget (annual operating plan)'!I51</f>
        <v>-75100</v>
      </c>
      <c r="E216" s="4">
        <f>'Budget (annual operating plan)'!J51</f>
        <v>-75100</v>
      </c>
      <c r="F216" s="4">
        <f>'Budget (annual operating plan)'!K51</f>
        <v>-78000</v>
      </c>
      <c r="G216" s="4">
        <f>'Budget (annual operating plan)'!L51</f>
        <v>-83700</v>
      </c>
      <c r="H216" s="4">
        <f>'Budget (annual operating plan)'!M51</f>
        <v>-86600</v>
      </c>
    </row>
    <row r="217">
      <c r="A217" s="0"/>
      <c r="B217" s="0"/>
      <c r="C217" s="0" t="inlineStr">
        <is>
          <t xml:space="preserve">Commissions</t>
        </is>
      </c>
      <c r="D217" s="4">
        <f>'Budget (annual operating plan)'!I63</f>
        <v>-218700</v>
      </c>
      <c r="E217" s="4">
        <f>'Budget (annual operating plan)'!J63</f>
        <v>-211000</v>
      </c>
      <c r="F217" s="4">
        <f>'Budget (annual operating plan)'!K63</f>
        <v>-213900</v>
      </c>
      <c r="G217" s="4">
        <f>'Budget (annual operating plan)'!L63</f>
        <v>-230300</v>
      </c>
      <c r="H217" s="4">
        <f>'Budget (annual operating plan)'!M63</f>
        <v>-233500</v>
      </c>
    </row>
    <row r="218">
      <c r="A218" s="0"/>
      <c r="B218" s="0"/>
      <c r="C218" s="0" t="inlineStr">
        <is>
          <t xml:space="preserve">Contractors</t>
        </is>
      </c>
      <c r="D218" s="4">
        <f>'Budget (annual operating plan)'!I75</f>
      </c>
      <c r="E218" s="4">
        <f>'Budget (annual operating plan)'!J75</f>
      </c>
      <c r="F218" s="4">
        <f>'Budget (annual operating plan)'!K75</f>
      </c>
      <c r="G218" s="4">
        <f>'Budget (annual operating plan)'!L75</f>
      </c>
      <c r="H218" s="4">
        <f>'Budget (annual operating plan)'!M75</f>
      </c>
    </row>
    <row r="219">
      <c r="A219" s="0"/>
      <c r="B219" s="0"/>
      <c r="C219" s="0" t="inlineStr">
        <is>
          <t xml:space="preserve">Cloud and infrastructure</t>
        </is>
      </c>
      <c r="D219" s="4">
        <f>'Budget (annual operating plan)'!I87</f>
      </c>
      <c r="E219" s="4">
        <f>'Budget (annual operating plan)'!J87</f>
      </c>
      <c r="F219" s="4">
        <f>'Budget (annual operating plan)'!K87</f>
      </c>
      <c r="G219" s="4">
        <f>'Budget (annual operating plan)'!L87</f>
      </c>
      <c r="H219" s="4">
        <f>'Budget (annual operating plan)'!M87</f>
      </c>
    </row>
    <row r="220">
      <c r="A220" s="0"/>
      <c r="B220" s="0"/>
      <c r="C220" s="0" t="inlineStr">
        <is>
          <t xml:space="preserve">Marketing programs</t>
        </is>
      </c>
      <c r="D220" s="4">
        <f>'Budget (annual operating plan)'!I99</f>
      </c>
      <c r="E220" s="4">
        <f>'Budget (annual operating plan)'!J99</f>
      </c>
      <c r="F220" s="4">
        <f>'Budget (annual operating plan)'!K99</f>
      </c>
      <c r="G220" s="4">
        <f>'Budget (annual operating plan)'!L99</f>
      </c>
      <c r="H220" s="4">
        <f>'Budget (annual operating plan)'!M99</f>
      </c>
    </row>
    <row r="221">
      <c r="A221" s="0"/>
      <c r="B221" s="0"/>
      <c r="C221" s="0" t="inlineStr">
        <is>
          <t xml:space="preserve">Software and tools</t>
        </is>
      </c>
      <c r="D221" s="4">
        <f>'Budget (annual operating plan)'!I111</f>
        <v>-9200</v>
      </c>
      <c r="E221" s="4">
        <f>'Budget (annual operating plan)'!J111</f>
        <v>-9200</v>
      </c>
      <c r="F221" s="4">
        <f>'Budget (annual operating plan)'!K111</f>
        <v>-9300</v>
      </c>
      <c r="G221" s="4">
        <f>'Budget (annual operating plan)'!L111</f>
        <v>-9300</v>
      </c>
      <c r="H221" s="4">
        <f>'Budget (annual operating plan)'!M111</f>
        <v>-9300</v>
      </c>
    </row>
    <row r="222">
      <c r="A222" s="0"/>
      <c r="B222" s="0"/>
      <c r="C222" s="0" t="inlineStr">
        <is>
          <t xml:space="preserve">Travel and events</t>
        </is>
      </c>
      <c r="D222" s="4">
        <f>'Budget (annual operating plan)'!I123</f>
        <v>-38800</v>
      </c>
      <c r="E222" s="4">
        <f>'Budget (annual operating plan)'!J123</f>
        <v>-38900</v>
      </c>
      <c r="F222" s="4">
        <f>'Budget (annual operating plan)'!K123</f>
        <v>-39100</v>
      </c>
      <c r="G222" s="4">
        <f>'Budget (annual operating plan)'!L123</f>
        <v>-39200</v>
      </c>
      <c r="H222" s="4">
        <f>'Budget (annual operating plan)'!M123</f>
        <v>-39400</v>
      </c>
    </row>
    <row r="223">
      <c r="A223" s="0"/>
      <c r="B223" s="0"/>
      <c r="C223" s="0" t="inlineStr">
        <is>
          <t xml:space="preserve">Rent and facilities</t>
        </is>
      </c>
      <c r="D223" s="4">
        <f>'Budget (annual operating plan)'!I135</f>
      </c>
      <c r="E223" s="4">
        <f>'Budget (annual operating plan)'!J135</f>
      </c>
      <c r="F223" s="4">
        <f>'Budget (annual operating plan)'!K135</f>
      </c>
      <c r="G223" s="4">
        <f>'Budget (annual operating plan)'!L135</f>
      </c>
      <c r="H223" s="4">
        <f>'Budget (annual operating plan)'!M135</f>
      </c>
    </row>
    <row r="224">
      <c r="A224" s="0"/>
      <c r="B224" s="0"/>
      <c r="C224" s="0" t="inlineStr">
        <is>
          <t xml:space="preserve">Professional fees</t>
        </is>
      </c>
      <c r="D224" s="4">
        <f>'Budget (annual operating plan)'!I147</f>
      </c>
      <c r="E224" s="4">
        <f>'Budget (annual operating plan)'!J147</f>
      </c>
      <c r="F224" s="4">
        <f>'Budget (annual operating plan)'!K147</f>
      </c>
      <c r="G224" s="4">
        <f>'Budget (annual operating plan)'!L147</f>
      </c>
      <c r="H224" s="4">
        <f>'Budget (annual operating plan)'!M147</f>
      </c>
    </row>
    <row r="225">
      <c r="A225" s="0"/>
      <c r="B225" s="0"/>
      <c r="C225" s="0" t="inlineStr">
        <is>
          <t xml:space="preserve">Net</t>
        </is>
      </c>
      <c r="D225" s="4">
        <f>'Budget (annual operating plan)'!I159</f>
        <v>-699300</v>
      </c>
      <c r="E225" s="4">
        <f>'Budget (annual operating plan)'!J159</f>
        <v>-691700</v>
      </c>
      <c r="F225" s="4">
        <f>'Budget (annual operating plan)'!K159</f>
        <v>-711500</v>
      </c>
      <c r="G225" s="4">
        <f>'Budget (annual operating plan)'!L159</f>
        <v>-761300</v>
      </c>
      <c r="H225" s="4">
        <f>'Budget (annual operating plan)'!M159</f>
        <v>-781300</v>
      </c>
    </row>
    <row r="226">
      <c r="A226" s="0"/>
      <c r="B226" s="0" t="inlineStr">
        <is>
          <t xml:space="preserve">Marketing</t>
        </is>
      </c>
      <c r="C226" s="0" t="inlineStr">
        <is>
          <t xml:space="preserve">Revenue</t>
        </is>
      </c>
      <c r="D226" s="4">
        <f>'Budget (annual operating plan)'!I4</f>
      </c>
      <c r="E226" s="4">
        <f>'Budget (annual operating plan)'!J4</f>
      </c>
      <c r="F226" s="4">
        <f>'Budget (annual operating plan)'!K4</f>
      </c>
      <c r="G226" s="4">
        <f>'Budget (annual operating plan)'!L4</f>
      </c>
      <c r="H226" s="4">
        <f>'Budget (annual operating plan)'!M4</f>
      </c>
    </row>
    <row r="227">
      <c r="A227" s="0"/>
      <c r="B227" s="0"/>
      <c r="C227" s="0" t="inlineStr">
        <is>
          <t xml:space="preserve">Cost of revenue: hosting</t>
        </is>
      </c>
      <c r="D227" s="4">
        <f>'Budget (annual operating plan)'!I16</f>
      </c>
      <c r="E227" s="4">
        <f>'Budget (annual operating plan)'!J16</f>
      </c>
      <c r="F227" s="4">
        <f>'Budget (annual operating plan)'!K16</f>
      </c>
      <c r="G227" s="4">
        <f>'Budget (annual operating plan)'!L16</f>
      </c>
      <c r="H227" s="4">
        <f>'Budget (annual operating plan)'!M16</f>
      </c>
    </row>
    <row r="228">
      <c r="A228" s="0"/>
      <c r="B228" s="0"/>
      <c r="C228" s="0" t="inlineStr">
        <is>
          <t xml:space="preserve">Cost of revenue: support</t>
        </is>
      </c>
      <c r="D228" s="4">
        <f>'Budget (annual operating plan)'!I28</f>
      </c>
      <c r="E228" s="4">
        <f>'Budget (annual operating plan)'!J28</f>
      </c>
      <c r="F228" s="4">
        <f>'Budget (annual operating plan)'!K28</f>
      </c>
      <c r="G228" s="4">
        <f>'Budget (annual operating plan)'!L28</f>
      </c>
      <c r="H228" s="4">
        <f>'Budget (annual operating plan)'!M28</f>
      </c>
    </row>
    <row r="229">
      <c r="A229" s="0"/>
      <c r="B229" s="0"/>
      <c r="C229" s="0" t="inlineStr">
        <is>
          <t xml:space="preserve">Salaries</t>
        </is>
      </c>
      <c r="D229" s="4">
        <f>'Budget (annual operating plan)'!I40</f>
        <v>-116700</v>
      </c>
      <c r="E229" s="4">
        <f>'Budget (annual operating plan)'!J40</f>
        <v>-128300</v>
      </c>
      <c r="F229" s="4">
        <f>'Budget (annual operating plan)'!K40</f>
        <v>-128300</v>
      </c>
      <c r="G229" s="4">
        <f>'Budget (annual operating plan)'!L40</f>
        <v>-128300</v>
      </c>
      <c r="H229" s="4">
        <f>'Budget (annual operating plan)'!M40</f>
        <v>-140000</v>
      </c>
    </row>
    <row r="230">
      <c r="A230" s="0"/>
      <c r="B230" s="0"/>
      <c r="C230" s="0" t="inlineStr">
        <is>
          <t xml:space="preserve">Benefits and payroll taxes</t>
        </is>
      </c>
      <c r="D230" s="4">
        <f>'Budget (annual operating plan)'!I52</f>
        <v>-24500</v>
      </c>
      <c r="E230" s="4">
        <f>'Budget (annual operating plan)'!J52</f>
        <v>-26900</v>
      </c>
      <c r="F230" s="4">
        <f>'Budget (annual operating plan)'!K52</f>
        <v>-26900</v>
      </c>
      <c r="G230" s="4">
        <f>'Budget (annual operating plan)'!L52</f>
        <v>-26900</v>
      </c>
      <c r="H230" s="4">
        <f>'Budget (annual operating plan)'!M52</f>
        <v>-29400</v>
      </c>
    </row>
    <row r="231">
      <c r="A231" s="0"/>
      <c r="B231" s="0"/>
      <c r="C231" s="0" t="inlineStr">
        <is>
          <t xml:space="preserve">Commissions</t>
        </is>
      </c>
      <c r="D231" s="4">
        <f>'Budget (annual operating plan)'!I64</f>
      </c>
      <c r="E231" s="4">
        <f>'Budget (annual operating plan)'!J64</f>
      </c>
      <c r="F231" s="4">
        <f>'Budget (annual operating plan)'!K64</f>
      </c>
      <c r="G231" s="4">
        <f>'Budget (annual operating plan)'!L64</f>
      </c>
      <c r="H231" s="4">
        <f>'Budget (annual operating plan)'!M64</f>
      </c>
    </row>
    <row r="232">
      <c r="A232" s="0"/>
      <c r="B232" s="0"/>
      <c r="C232" s="0" t="inlineStr">
        <is>
          <t xml:space="preserve">Contractors</t>
        </is>
      </c>
      <c r="D232" s="4">
        <f>'Budget (annual operating plan)'!I76</f>
      </c>
      <c r="E232" s="4">
        <f>'Budget (annual operating plan)'!J76</f>
      </c>
      <c r="F232" s="4">
        <f>'Budget (annual operating plan)'!K76</f>
      </c>
      <c r="G232" s="4">
        <f>'Budget (annual operating plan)'!L76</f>
      </c>
      <c r="H232" s="4">
        <f>'Budget (annual operating plan)'!M76</f>
      </c>
    </row>
    <row r="233">
      <c r="A233" s="0"/>
      <c r="B233" s="0"/>
      <c r="C233" s="0" t="inlineStr">
        <is>
          <t xml:space="preserve">Cloud and infrastructure</t>
        </is>
      </c>
      <c r="D233" s="4">
        <f>'Budget (annual operating plan)'!I88</f>
      </c>
      <c r="E233" s="4">
        <f>'Budget (annual operating plan)'!J88</f>
      </c>
      <c r="F233" s="4">
        <f>'Budget (annual operating plan)'!K88</f>
      </c>
      <c r="G233" s="4">
        <f>'Budget (annual operating plan)'!L88</f>
      </c>
      <c r="H233" s="4">
        <f>'Budget (annual operating plan)'!M88</f>
      </c>
    </row>
    <row r="234">
      <c r="A234" s="0"/>
      <c r="B234" s="0"/>
      <c r="C234" s="0" t="inlineStr">
        <is>
          <t xml:space="preserve">Marketing programs</t>
        </is>
      </c>
      <c r="D234" s="4">
        <f>'Budget (annual operating plan)'!I100</f>
        <v>-388800</v>
      </c>
      <c r="E234" s="4">
        <f>'Budget (annual operating plan)'!J100</f>
        <v>-375100</v>
      </c>
      <c r="F234" s="4">
        <f>'Budget (annual operating plan)'!K100</f>
        <v>-380200</v>
      </c>
      <c r="G234" s="4">
        <f>'Budget (annual operating plan)'!L100</f>
        <v>-409400</v>
      </c>
      <c r="H234" s="4">
        <f>'Budget (annual operating plan)'!M100</f>
        <v>-415100</v>
      </c>
    </row>
    <row r="235">
      <c r="A235" s="0"/>
      <c r="B235" s="0"/>
      <c r="C235" s="0" t="inlineStr">
        <is>
          <t xml:space="preserve">Software and tools</t>
        </is>
      </c>
      <c r="D235" s="4">
        <f>'Budget (annual operating plan)'!I112</f>
        <v>-14300</v>
      </c>
      <c r="E235" s="4">
        <f>'Budget (annual operating plan)'!J112</f>
        <v>-14300</v>
      </c>
      <c r="F235" s="4">
        <f>'Budget (annual operating plan)'!K112</f>
        <v>-14400</v>
      </c>
      <c r="G235" s="4">
        <f>'Budget (annual operating plan)'!L112</f>
        <v>-14500</v>
      </c>
      <c r="H235" s="4">
        <f>'Budget (annual operating plan)'!M112</f>
        <v>-14500</v>
      </c>
    </row>
    <row r="236">
      <c r="A236" s="0"/>
      <c r="B236" s="0"/>
      <c r="C236" s="0" t="inlineStr">
        <is>
          <t xml:space="preserve">Travel and events</t>
        </is>
      </c>
      <c r="D236" s="4">
        <f>'Budget (annual operating plan)'!I124</f>
        <v>-12200</v>
      </c>
      <c r="E236" s="4">
        <f>'Budget (annual operating plan)'!J124</f>
        <v>-12300</v>
      </c>
      <c r="F236" s="4">
        <f>'Budget (annual operating plan)'!K124</f>
        <v>-12300</v>
      </c>
      <c r="G236" s="4">
        <f>'Budget (annual operating plan)'!L124</f>
        <v>-12400</v>
      </c>
      <c r="H236" s="4">
        <f>'Budget (annual operating plan)'!M124</f>
        <v>-12400</v>
      </c>
    </row>
    <row r="237">
      <c r="A237" s="0"/>
      <c r="B237" s="0"/>
      <c r="C237" s="0" t="inlineStr">
        <is>
          <t xml:space="preserve">Rent and facilities</t>
        </is>
      </c>
      <c r="D237" s="4">
        <f>'Budget (annual operating plan)'!I136</f>
      </c>
      <c r="E237" s="4">
        <f>'Budget (annual operating plan)'!J136</f>
      </c>
      <c r="F237" s="4">
        <f>'Budget (annual operating plan)'!K136</f>
      </c>
      <c r="G237" s="4">
        <f>'Budget (annual operating plan)'!L136</f>
      </c>
      <c r="H237" s="4">
        <f>'Budget (annual operating plan)'!M136</f>
      </c>
    </row>
    <row r="238">
      <c r="A238" s="0"/>
      <c r="B238" s="0"/>
      <c r="C238" s="0" t="inlineStr">
        <is>
          <t xml:space="preserve">Professional fees</t>
        </is>
      </c>
      <c r="D238" s="4">
        <f>'Budget (annual operating plan)'!I148</f>
      </c>
      <c r="E238" s="4">
        <f>'Budget (annual operating plan)'!J148</f>
      </c>
      <c r="F238" s="4">
        <f>'Budget (annual operating plan)'!K148</f>
      </c>
      <c r="G238" s="4">
        <f>'Budget (annual operating plan)'!L148</f>
      </c>
      <c r="H238" s="4">
        <f>'Budget (annual operating plan)'!M148</f>
      </c>
    </row>
    <row r="239">
      <c r="A239" s="0"/>
      <c r="B239" s="0"/>
      <c r="C239" s="0" t="inlineStr">
        <is>
          <t xml:space="preserve">Net</t>
        </is>
      </c>
      <c r="D239" s="4">
        <f>'Budget (annual operating plan)'!I160</f>
        <v>-556500</v>
      </c>
      <c r="E239" s="4">
        <f>'Budget (annual operating plan)'!J160</f>
        <v>-556900</v>
      </c>
      <c r="F239" s="4">
        <f>'Budget (annual operating plan)'!K160</f>
        <v>-562100</v>
      </c>
      <c r="G239" s="4">
        <f>'Budget (annual operating plan)'!L160</f>
        <v>-591500</v>
      </c>
      <c r="H239" s="4">
        <f>'Budget (annual operating plan)'!M160</f>
        <v>-611400</v>
      </c>
    </row>
    <row r="240">
      <c r="A240" s="0"/>
      <c r="B240" s="0" t="inlineStr">
        <is>
          <t xml:space="preserve">Engineering</t>
        </is>
      </c>
      <c r="C240" s="0" t="inlineStr">
        <is>
          <t xml:space="preserve">Revenue</t>
        </is>
      </c>
      <c r="D240" s="4">
        <f>'Budget (annual operating plan)'!I5</f>
      </c>
      <c r="E240" s="4">
        <f>'Budget (annual operating plan)'!J5</f>
      </c>
      <c r="F240" s="4">
        <f>'Budget (annual operating plan)'!K5</f>
      </c>
      <c r="G240" s="4">
        <f>'Budget (annual operating plan)'!L5</f>
      </c>
      <c r="H240" s="4">
        <f>'Budget (annual operating plan)'!M5</f>
      </c>
    </row>
    <row r="241">
      <c r="A241" s="0"/>
      <c r="B241" s="0"/>
      <c r="C241" s="0" t="inlineStr">
        <is>
          <t xml:space="preserve">Cost of revenue: hosting</t>
        </is>
      </c>
      <c r="D241" s="4">
        <f>'Budget (annual operating plan)'!I17</f>
      </c>
      <c r="E241" s="4">
        <f>'Budget (annual operating plan)'!J17</f>
      </c>
      <c r="F241" s="4">
        <f>'Budget (annual operating plan)'!K17</f>
      </c>
      <c r="G241" s="4">
        <f>'Budget (annual operating plan)'!L17</f>
      </c>
      <c r="H241" s="4">
        <f>'Budget (annual operating plan)'!M17</f>
      </c>
    </row>
    <row r="242">
      <c r="A242" s="0"/>
      <c r="B242" s="0"/>
      <c r="C242" s="0" t="inlineStr">
        <is>
          <t xml:space="preserve">Cost of revenue: support</t>
        </is>
      </c>
      <c r="D242" s="4">
        <f>'Budget (annual operating plan)'!I29</f>
      </c>
      <c r="E242" s="4">
        <f>'Budget (annual operating plan)'!J29</f>
      </c>
      <c r="F242" s="4">
        <f>'Budget (annual operating plan)'!K29</f>
      </c>
      <c r="G242" s="4">
        <f>'Budget (annual operating plan)'!L29</f>
      </c>
      <c r="H242" s="4">
        <f>'Budget (annual operating plan)'!M29</f>
      </c>
    </row>
    <row r="243">
      <c r="A243" s="0"/>
      <c r="B243" s="0"/>
      <c r="C243" s="0" t="inlineStr">
        <is>
          <t xml:space="preserve">Salaries</t>
        </is>
      </c>
      <c r="D243" s="4">
        <f>'Budget (annual operating plan)'!I41</f>
        <v>-744200</v>
      </c>
      <c r="E243" s="4">
        <f>'Budget (annual operating plan)'!J41</f>
        <v>-760000</v>
      </c>
      <c r="F243" s="4">
        <f>'Budget (annual operating plan)'!K41</f>
        <v>-775800</v>
      </c>
      <c r="G243" s="4">
        <f>'Budget (annual operating plan)'!L41</f>
        <v>-823300</v>
      </c>
      <c r="H243" s="4">
        <f>'Budget (annual operating plan)'!M41</f>
        <v>-839200</v>
      </c>
    </row>
    <row r="244">
      <c r="A244" s="0"/>
      <c r="B244" s="0"/>
      <c r="C244" s="0" t="inlineStr">
        <is>
          <t xml:space="preserve">Benefits and payroll taxes</t>
        </is>
      </c>
      <c r="D244" s="4">
        <f>'Budget (annual operating plan)'!I53</f>
        <v>-156300</v>
      </c>
      <c r="E244" s="4">
        <f>'Budget (annual operating plan)'!J53</f>
        <v>-159600</v>
      </c>
      <c r="F244" s="4">
        <f>'Budget (annual operating plan)'!K53</f>
        <v>-162900</v>
      </c>
      <c r="G244" s="4">
        <f>'Budget (annual operating plan)'!L53</f>
        <v>-172900</v>
      </c>
      <c r="H244" s="4">
        <f>'Budget (annual operating plan)'!M53</f>
        <v>-176200</v>
      </c>
    </row>
    <row r="245">
      <c r="A245" s="0"/>
      <c r="B245" s="0"/>
      <c r="C245" s="0" t="inlineStr">
        <is>
          <t xml:space="preserve">Commissions</t>
        </is>
      </c>
      <c r="D245" s="4">
        <f>'Budget (annual operating plan)'!I65</f>
      </c>
      <c r="E245" s="4">
        <f>'Budget (annual operating plan)'!J65</f>
      </c>
      <c r="F245" s="4">
        <f>'Budget (annual operating plan)'!K65</f>
      </c>
      <c r="G245" s="4">
        <f>'Budget (annual operating plan)'!L65</f>
      </c>
      <c r="H245" s="4">
        <f>'Budget (annual operating plan)'!M65</f>
      </c>
    </row>
    <row r="246">
      <c r="A246" s="0"/>
      <c r="B246" s="0"/>
      <c r="C246" s="0" t="inlineStr">
        <is>
          <t xml:space="preserve">Contractors</t>
        </is>
      </c>
      <c r="D246" s="4">
        <f>'Budget (annual operating plan)'!I77</f>
        <v>-63200</v>
      </c>
      <c r="E246" s="4">
        <f>'Budget (annual operating plan)'!J77</f>
        <v>-63500</v>
      </c>
      <c r="F246" s="4">
        <f>'Budget (annual operating plan)'!K77</f>
        <v>-63800</v>
      </c>
      <c r="G246" s="4">
        <f>'Budget (annual operating plan)'!L77</f>
        <v>-64000</v>
      </c>
      <c r="H246" s="4">
        <f>'Budget (annual operating plan)'!M77</f>
        <v>-64300</v>
      </c>
    </row>
    <row r="247">
      <c r="A247" s="0"/>
      <c r="B247" s="0"/>
      <c r="C247" s="0" t="inlineStr">
        <is>
          <t xml:space="preserve">Cloud and infrastructure</t>
        </is>
      </c>
      <c r="D247" s="4">
        <f>'Budget (annual operating plan)'!I89</f>
        <v>-364500</v>
      </c>
      <c r="E247" s="4">
        <f>'Budget (annual operating plan)'!J89</f>
        <v>-351700</v>
      </c>
      <c r="F247" s="4">
        <f>'Budget (annual operating plan)'!K89</f>
        <v>-356400</v>
      </c>
      <c r="G247" s="4">
        <f>'Budget (annual operating plan)'!L89</f>
        <v>-383800</v>
      </c>
      <c r="H247" s="4">
        <f>'Budget (annual operating plan)'!M89</f>
        <v>-389200</v>
      </c>
    </row>
    <row r="248">
      <c r="A248" s="0"/>
      <c r="B248" s="0"/>
      <c r="C248" s="0" t="inlineStr">
        <is>
          <t xml:space="preserve">Marketing programs</t>
        </is>
      </c>
      <c r="D248" s="4">
        <f>'Budget (annual operating plan)'!I101</f>
      </c>
      <c r="E248" s="4">
        <f>'Budget (annual operating plan)'!J101</f>
      </c>
      <c r="F248" s="4">
        <f>'Budget (annual operating plan)'!K101</f>
      </c>
      <c r="G248" s="4">
        <f>'Budget (annual operating plan)'!L101</f>
      </c>
      <c r="H248" s="4">
        <f>'Budget (annual operating plan)'!M101</f>
      </c>
    </row>
    <row r="249">
      <c r="A249" s="0"/>
      <c r="B249" s="0"/>
      <c r="C249" s="0" t="inlineStr">
        <is>
          <t xml:space="preserve">Software and tools</t>
        </is>
      </c>
      <c r="D249" s="4">
        <f>'Budget (annual operating plan)'!I113</f>
        <v>-21400</v>
      </c>
      <c r="E249" s="4">
        <f>'Budget (annual operating plan)'!J113</f>
        <v>-21500</v>
      </c>
      <c r="F249" s="4">
        <f>'Budget (annual operating plan)'!K113</f>
        <v>-21600</v>
      </c>
      <c r="G249" s="4">
        <f>'Budget (annual operating plan)'!L113</f>
        <v>-21700</v>
      </c>
      <c r="H249" s="4">
        <f>'Budget (annual operating plan)'!M113</f>
        <v>-21800</v>
      </c>
    </row>
    <row r="250">
      <c r="A250" s="0"/>
      <c r="B250" s="0"/>
      <c r="C250" s="0" t="inlineStr">
        <is>
          <t xml:space="preserve">Travel and events</t>
        </is>
      </c>
      <c r="D250" s="4">
        <f>'Budget (annual operating plan)'!I125</f>
      </c>
      <c r="E250" s="4">
        <f>'Budget (annual operating plan)'!J125</f>
      </c>
      <c r="F250" s="4">
        <f>'Budget (annual operating plan)'!K125</f>
      </c>
      <c r="G250" s="4">
        <f>'Budget (annual operating plan)'!L125</f>
      </c>
      <c r="H250" s="4">
        <f>'Budget (annual operating plan)'!M125</f>
      </c>
    </row>
    <row r="251">
      <c r="A251" s="0"/>
      <c r="B251" s="0"/>
      <c r="C251" s="0" t="inlineStr">
        <is>
          <t xml:space="preserve">Rent and facilities</t>
        </is>
      </c>
      <c r="D251" s="4">
        <f>'Budget (annual operating plan)'!I137</f>
      </c>
      <c r="E251" s="4">
        <f>'Budget (annual operating plan)'!J137</f>
      </c>
      <c r="F251" s="4">
        <f>'Budget (annual operating plan)'!K137</f>
      </c>
      <c r="G251" s="4">
        <f>'Budget (annual operating plan)'!L137</f>
      </c>
      <c r="H251" s="4">
        <f>'Budget (annual operating plan)'!M137</f>
      </c>
    </row>
    <row r="252">
      <c r="A252" s="0"/>
      <c r="B252" s="0"/>
      <c r="C252" s="0" t="inlineStr">
        <is>
          <t xml:space="preserve">Professional fees</t>
        </is>
      </c>
      <c r="D252" s="4">
        <f>'Budget (annual operating plan)'!I149</f>
      </c>
      <c r="E252" s="4">
        <f>'Budget (annual operating plan)'!J149</f>
      </c>
      <c r="F252" s="4">
        <f>'Budget (annual operating plan)'!K149</f>
      </c>
      <c r="G252" s="4">
        <f>'Budget (annual operating plan)'!L149</f>
      </c>
      <c r="H252" s="4">
        <f>'Budget (annual operating plan)'!M149</f>
      </c>
    </row>
    <row r="253">
      <c r="A253" s="0"/>
      <c r="B253" s="0"/>
      <c r="C253" s="0" t="inlineStr">
        <is>
          <t xml:space="preserve">Net</t>
        </is>
      </c>
      <c r="D253" s="4">
        <f>'Budget (annual operating plan)'!I161</f>
        <v>-1349600</v>
      </c>
      <c r="E253" s="4">
        <f>'Budget (annual operating plan)'!J161</f>
        <v>-1356300</v>
      </c>
      <c r="F253" s="4">
        <f>'Budget (annual operating plan)'!K161</f>
        <v>-1380500</v>
      </c>
      <c r="G253" s="4">
        <f>'Budget (annual operating plan)'!L161</f>
        <v>-1465700</v>
      </c>
      <c r="H253" s="4">
        <f>'Budget (annual operating plan)'!M161</f>
        <v>-1490700</v>
      </c>
    </row>
    <row r="254">
      <c r="A254" s="0"/>
      <c r="B254" s="0" t="inlineStr">
        <is>
          <t xml:space="preserve">Customer success</t>
        </is>
      </c>
      <c r="C254" s="0" t="inlineStr">
        <is>
          <t xml:space="preserve">Revenue</t>
        </is>
      </c>
      <c r="D254" s="4">
        <f>'Budget (annual operating plan)'!I6</f>
      </c>
      <c r="E254" s="4">
        <f>'Budget (annual operating plan)'!J6</f>
      </c>
      <c r="F254" s="4">
        <f>'Budget (annual operating plan)'!K6</f>
      </c>
      <c r="G254" s="4">
        <f>'Budget (annual operating plan)'!L6</f>
      </c>
      <c r="H254" s="4">
        <f>'Budget (annual operating plan)'!M6</f>
      </c>
    </row>
    <row r="255">
      <c r="A255" s="0"/>
      <c r="B255" s="0"/>
      <c r="C255" s="0" t="inlineStr">
        <is>
          <t xml:space="preserve">Cost of revenue: hosting</t>
        </is>
      </c>
      <c r="D255" s="4">
        <f>'Budget (annual operating plan)'!I18</f>
      </c>
      <c r="E255" s="4">
        <f>'Budget (annual operating plan)'!J18</f>
      </c>
      <c r="F255" s="4">
        <f>'Budget (annual operating plan)'!K18</f>
      </c>
      <c r="G255" s="4">
        <f>'Budget (annual operating plan)'!L18</f>
      </c>
      <c r="H255" s="4">
        <f>'Budget (annual operating plan)'!M18</f>
      </c>
    </row>
    <row r="256">
      <c r="A256" s="0"/>
      <c r="B256" s="0"/>
      <c r="C256" s="0" t="inlineStr">
        <is>
          <t xml:space="preserve">Cost of revenue: support</t>
        </is>
      </c>
      <c r="D256" s="4">
        <f>'Budget (annual operating plan)'!I30</f>
      </c>
      <c r="E256" s="4">
        <f>'Budget (annual operating plan)'!J30</f>
      </c>
      <c r="F256" s="4">
        <f>'Budget (annual operating plan)'!K30</f>
      </c>
      <c r="G256" s="4">
        <f>'Budget (annual operating plan)'!L30</f>
      </c>
      <c r="H256" s="4">
        <f>'Budget (annual operating plan)'!M30</f>
      </c>
    </row>
    <row r="257">
      <c r="A257" s="0"/>
      <c r="B257" s="0"/>
      <c r="C257" s="0" t="inlineStr">
        <is>
          <t xml:space="preserve">Salaries</t>
        </is>
      </c>
      <c r="D257" s="4">
        <f>'Budget (annual operating plan)'!I42</f>
        <v>-128300</v>
      </c>
      <c r="E257" s="4">
        <f>'Budget (annual operating plan)'!J42</f>
        <v>-128300</v>
      </c>
      <c r="F257" s="4">
        <f>'Budget (annual operating plan)'!K42</f>
        <v>-137500</v>
      </c>
      <c r="G257" s="4">
        <f>'Budget (annual operating plan)'!L42</f>
        <v>-137500</v>
      </c>
      <c r="H257" s="4">
        <f>'Budget (annual operating plan)'!M42</f>
        <v>-146700</v>
      </c>
    </row>
    <row r="258">
      <c r="A258" s="0"/>
      <c r="B258" s="0"/>
      <c r="C258" s="0" t="inlineStr">
        <is>
          <t xml:space="preserve">Benefits and payroll taxes</t>
        </is>
      </c>
      <c r="D258" s="4">
        <f>'Budget (annual operating plan)'!I54</f>
        <v>-26900</v>
      </c>
      <c r="E258" s="4">
        <f>'Budget (annual operating plan)'!J54</f>
        <v>-26900</v>
      </c>
      <c r="F258" s="4">
        <f>'Budget (annual operating plan)'!K54</f>
        <v>-28900</v>
      </c>
      <c r="G258" s="4">
        <f>'Budget (annual operating plan)'!L54</f>
        <v>-28900</v>
      </c>
      <c r="H258" s="4">
        <f>'Budget (annual operating plan)'!M54</f>
        <v>-30800</v>
      </c>
    </row>
    <row r="259">
      <c r="A259" s="0"/>
      <c r="B259" s="0"/>
      <c r="C259" s="0" t="inlineStr">
        <is>
          <t xml:space="preserve">Commissions</t>
        </is>
      </c>
      <c r="D259" s="4">
        <f>'Budget (annual operating plan)'!I66</f>
      </c>
      <c r="E259" s="4">
        <f>'Budget (annual operating plan)'!J66</f>
      </c>
      <c r="F259" s="4">
        <f>'Budget (annual operating plan)'!K66</f>
      </c>
      <c r="G259" s="4">
        <f>'Budget (annual operating plan)'!L66</f>
      </c>
      <c r="H259" s="4">
        <f>'Budget (annual operating plan)'!M66</f>
      </c>
    </row>
    <row r="260">
      <c r="A260" s="0"/>
      <c r="B260" s="0"/>
      <c r="C260" s="0" t="inlineStr">
        <is>
          <t xml:space="preserve">Contractors</t>
        </is>
      </c>
      <c r="D260" s="4">
        <f>'Budget (annual operating plan)'!I78</f>
      </c>
      <c r="E260" s="4">
        <f>'Budget (annual operating plan)'!J78</f>
      </c>
      <c r="F260" s="4">
        <f>'Budget (annual operating plan)'!K78</f>
      </c>
      <c r="G260" s="4">
        <f>'Budget (annual operating plan)'!L78</f>
      </c>
      <c r="H260" s="4">
        <f>'Budget (annual operating plan)'!M78</f>
      </c>
    </row>
    <row r="261">
      <c r="A261" s="0"/>
      <c r="B261" s="0"/>
      <c r="C261" s="0" t="inlineStr">
        <is>
          <t xml:space="preserve">Cloud and infrastructure</t>
        </is>
      </c>
      <c r="D261" s="4">
        <f>'Budget (annual operating plan)'!I90</f>
      </c>
      <c r="E261" s="4">
        <f>'Budget (annual operating plan)'!J90</f>
      </c>
      <c r="F261" s="4">
        <f>'Budget (annual operating plan)'!K90</f>
      </c>
      <c r="G261" s="4">
        <f>'Budget (annual operating plan)'!L90</f>
      </c>
      <c r="H261" s="4">
        <f>'Budget (annual operating plan)'!M90</f>
      </c>
    </row>
    <row r="262">
      <c r="A262" s="0"/>
      <c r="B262" s="0"/>
      <c r="C262" s="0" t="inlineStr">
        <is>
          <t xml:space="preserve">Marketing programs</t>
        </is>
      </c>
      <c r="D262" s="4">
        <f>'Budget (annual operating plan)'!I102</f>
      </c>
      <c r="E262" s="4">
        <f>'Budget (annual operating plan)'!J102</f>
      </c>
      <c r="F262" s="4">
        <f>'Budget (annual operating plan)'!K102</f>
      </c>
      <c r="G262" s="4">
        <f>'Budget (annual operating plan)'!L102</f>
      </c>
      <c r="H262" s="4">
        <f>'Budget (annual operating plan)'!M102</f>
      </c>
    </row>
    <row r="263">
      <c r="A263" s="0"/>
      <c r="B263" s="0"/>
      <c r="C263" s="0" t="inlineStr">
        <is>
          <t xml:space="preserve">Software and tools</t>
        </is>
      </c>
      <c r="D263" s="4">
        <f>'Budget (annual operating plan)'!I114</f>
        <v>-7100</v>
      </c>
      <c r="E263" s="4">
        <f>'Budget (annual operating plan)'!J114</f>
        <v>-7200</v>
      </c>
      <c r="F263" s="4">
        <f>'Budget (annual operating plan)'!K114</f>
        <v>-7200</v>
      </c>
      <c r="G263" s="4">
        <f>'Budget (annual operating plan)'!L114</f>
        <v>-7200</v>
      </c>
      <c r="H263" s="4">
        <f>'Budget (annual operating plan)'!M114</f>
        <v>-7300</v>
      </c>
    </row>
    <row r="264">
      <c r="A264" s="0"/>
      <c r="B264" s="0"/>
      <c r="C264" s="0" t="inlineStr">
        <is>
          <t xml:space="preserve">Travel and events</t>
        </is>
      </c>
      <c r="D264" s="4">
        <f>'Budget (annual operating plan)'!I126</f>
        <v>-4100</v>
      </c>
      <c r="E264" s="4">
        <f>'Budget (annual operating plan)'!J126</f>
        <v>-4100</v>
      </c>
      <c r="F264" s="4">
        <f>'Budget (annual operating plan)'!K126</f>
        <v>-4100</v>
      </c>
      <c r="G264" s="4">
        <f>'Budget (annual operating plan)'!L126</f>
        <v>-4100</v>
      </c>
      <c r="H264" s="4">
        <f>'Budget (annual operating plan)'!M126</f>
        <v>-4100</v>
      </c>
    </row>
    <row r="265">
      <c r="A265" s="0"/>
      <c r="B265" s="0"/>
      <c r="C265" s="0" t="inlineStr">
        <is>
          <t xml:space="preserve">Rent and facilities</t>
        </is>
      </c>
      <c r="D265" s="4">
        <f>'Budget (annual operating plan)'!I138</f>
      </c>
      <c r="E265" s="4">
        <f>'Budget (annual operating plan)'!J138</f>
      </c>
      <c r="F265" s="4">
        <f>'Budget (annual operating plan)'!K138</f>
      </c>
      <c r="G265" s="4">
        <f>'Budget (annual operating plan)'!L138</f>
      </c>
      <c r="H265" s="4">
        <f>'Budget (annual operating plan)'!M138</f>
      </c>
    </row>
    <row r="266">
      <c r="A266" s="0"/>
      <c r="B266" s="0"/>
      <c r="C266" s="0" t="inlineStr">
        <is>
          <t xml:space="preserve">Professional fees</t>
        </is>
      </c>
      <c r="D266" s="4">
        <f>'Budget (annual operating plan)'!I150</f>
      </c>
      <c r="E266" s="4">
        <f>'Budget (annual operating plan)'!J150</f>
      </c>
      <c r="F266" s="4">
        <f>'Budget (annual operating plan)'!K150</f>
      </c>
      <c r="G266" s="4">
        <f>'Budget (annual operating plan)'!L150</f>
      </c>
      <c r="H266" s="4">
        <f>'Budget (annual operating plan)'!M150</f>
      </c>
    </row>
    <row r="267">
      <c r="A267" s="0"/>
      <c r="B267" s="0"/>
      <c r="C267" s="0" t="inlineStr">
        <is>
          <t xml:space="preserve">Net</t>
        </is>
      </c>
      <c r="D267" s="4">
        <f>'Budget (annual operating plan)'!I162</f>
        <v>-166400</v>
      </c>
      <c r="E267" s="4">
        <f>'Budget (annual operating plan)'!J162</f>
        <v>-166500</v>
      </c>
      <c r="F267" s="4">
        <f>'Budget (annual operating plan)'!K162</f>
        <v>-177700</v>
      </c>
      <c r="G267" s="4">
        <f>'Budget (annual operating plan)'!L162</f>
        <v>-177700</v>
      </c>
      <c r="H267" s="4">
        <f>'Budget (annual operating plan)'!M162</f>
        <v>-188900</v>
      </c>
    </row>
    <row r="268">
      <c r="A268" s="0"/>
      <c r="B268" s="0" t="inlineStr">
        <is>
          <t xml:space="preserve">G&amp;A</t>
        </is>
      </c>
      <c r="C268" s="0" t="inlineStr">
        <is>
          <t xml:space="preserve">Revenue</t>
        </is>
      </c>
      <c r="D268" s="4">
        <f>'Budget (annual operating plan)'!I7</f>
      </c>
      <c r="E268" s="4">
        <f>'Budget (annual operating plan)'!J7</f>
      </c>
      <c r="F268" s="4">
        <f>'Budget (annual operating plan)'!K7</f>
      </c>
      <c r="G268" s="4">
        <f>'Budget (annual operating plan)'!L7</f>
      </c>
      <c r="H268" s="4">
        <f>'Budget (annual operating plan)'!M7</f>
      </c>
    </row>
    <row r="269">
      <c r="A269" s="0"/>
      <c r="B269" s="0"/>
      <c r="C269" s="0" t="inlineStr">
        <is>
          <t xml:space="preserve">Cost of revenue: hosting</t>
        </is>
      </c>
      <c r="D269" s="4">
        <f>'Budget (annual operating plan)'!I19</f>
      </c>
      <c r="E269" s="4">
        <f>'Budget (annual operating plan)'!J19</f>
      </c>
      <c r="F269" s="4">
        <f>'Budget (annual operating plan)'!K19</f>
      </c>
      <c r="G269" s="4">
        <f>'Budget (annual operating plan)'!L19</f>
      </c>
      <c r="H269" s="4">
        <f>'Budget (annual operating plan)'!M19</f>
      </c>
    </row>
    <row r="270">
      <c r="A270" s="0"/>
      <c r="B270" s="0"/>
      <c r="C270" s="0" t="inlineStr">
        <is>
          <t xml:space="preserve">Cost of revenue: support</t>
        </is>
      </c>
      <c r="D270" s="4">
        <f>'Budget (annual operating plan)'!I31</f>
      </c>
      <c r="E270" s="4">
        <f>'Budget (annual operating plan)'!J31</f>
      </c>
      <c r="F270" s="4">
        <f>'Budget (annual operating plan)'!K31</f>
      </c>
      <c r="G270" s="4">
        <f>'Budget (annual operating plan)'!L31</f>
      </c>
      <c r="H270" s="4">
        <f>'Budget (annual operating plan)'!M31</f>
      </c>
    </row>
    <row r="271">
      <c r="A271" s="0"/>
      <c r="B271" s="0"/>
      <c r="C271" s="0" t="inlineStr">
        <is>
          <t xml:space="preserve">Salaries</t>
        </is>
      </c>
      <c r="D271" s="4">
        <f>'Budget (annual operating plan)'!I43</f>
        <v>-137500</v>
      </c>
      <c r="E271" s="4">
        <f>'Budget (annual operating plan)'!J43</f>
        <v>-137500</v>
      </c>
      <c r="F271" s="4">
        <f>'Budget (annual operating plan)'!K43</f>
        <v>-137500</v>
      </c>
      <c r="G271" s="4">
        <f>'Budget (annual operating plan)'!L43</f>
        <v>-150000</v>
      </c>
      <c r="H271" s="4">
        <f>'Budget (annual operating plan)'!M43</f>
        <v>-150000</v>
      </c>
    </row>
    <row r="272">
      <c r="A272" s="0"/>
      <c r="B272" s="0"/>
      <c r="C272" s="0" t="inlineStr">
        <is>
          <t xml:space="preserve">Benefits and payroll taxes</t>
        </is>
      </c>
      <c r="D272" s="4">
        <f>'Budget (annual operating plan)'!I55</f>
        <v>-28900</v>
      </c>
      <c r="E272" s="4">
        <f>'Budget (annual operating plan)'!J55</f>
        <v>-28900</v>
      </c>
      <c r="F272" s="4">
        <f>'Budget (annual operating plan)'!K55</f>
        <v>-28900</v>
      </c>
      <c r="G272" s="4">
        <f>'Budget (annual operating plan)'!L55</f>
        <v>-31500</v>
      </c>
      <c r="H272" s="4">
        <f>'Budget (annual operating plan)'!M55</f>
        <v>-31500</v>
      </c>
    </row>
    <row r="273">
      <c r="A273" s="0"/>
      <c r="B273" s="0"/>
      <c r="C273" s="0" t="inlineStr">
        <is>
          <t xml:space="preserve">Commissions</t>
        </is>
      </c>
      <c r="D273" s="4">
        <f>'Budget (annual operating plan)'!I67</f>
      </c>
      <c r="E273" s="4">
        <f>'Budget (annual operating plan)'!J67</f>
      </c>
      <c r="F273" s="4">
        <f>'Budget (annual operating plan)'!K67</f>
      </c>
      <c r="G273" s="4">
        <f>'Budget (annual operating plan)'!L67</f>
      </c>
      <c r="H273" s="4">
        <f>'Budget (annual operating plan)'!M67</f>
      </c>
    </row>
    <row r="274">
      <c r="A274" s="0"/>
      <c r="B274" s="0"/>
      <c r="C274" s="0" t="inlineStr">
        <is>
          <t xml:space="preserve">Contractors</t>
        </is>
      </c>
      <c r="D274" s="4">
        <f>'Budget (annual operating plan)'!I79</f>
      </c>
      <c r="E274" s="4">
        <f>'Budget (annual operating plan)'!J79</f>
      </c>
      <c r="F274" s="4">
        <f>'Budget (annual operating plan)'!K79</f>
      </c>
      <c r="G274" s="4">
        <f>'Budget (annual operating plan)'!L79</f>
      </c>
      <c r="H274" s="4">
        <f>'Budget (annual operating plan)'!M79</f>
      </c>
    </row>
    <row r="275">
      <c r="A275" s="0"/>
      <c r="B275" s="0"/>
      <c r="C275" s="0" t="inlineStr">
        <is>
          <t xml:space="preserve">Cloud and infrastructure</t>
        </is>
      </c>
      <c r="D275" s="4">
        <f>'Budget (annual operating plan)'!I91</f>
      </c>
      <c r="E275" s="4">
        <f>'Budget (annual operating plan)'!J91</f>
      </c>
      <c r="F275" s="4">
        <f>'Budget (annual operating plan)'!K91</f>
      </c>
      <c r="G275" s="4">
        <f>'Budget (annual operating plan)'!L91</f>
      </c>
      <c r="H275" s="4">
        <f>'Budget (annual operating plan)'!M91</f>
      </c>
    </row>
    <row r="276">
      <c r="A276" s="0"/>
      <c r="B276" s="0"/>
      <c r="C276" s="0" t="inlineStr">
        <is>
          <t xml:space="preserve">Marketing programs</t>
        </is>
      </c>
      <c r="D276" s="4">
        <f>'Budget (annual operating plan)'!I103</f>
      </c>
      <c r="E276" s="4">
        <f>'Budget (annual operating plan)'!J103</f>
      </c>
      <c r="F276" s="4">
        <f>'Budget (annual operating plan)'!K103</f>
      </c>
      <c r="G276" s="4">
        <f>'Budget (annual operating plan)'!L103</f>
      </c>
      <c r="H276" s="4">
        <f>'Budget (annual operating plan)'!M103</f>
      </c>
    </row>
    <row r="277">
      <c r="A277" s="0"/>
      <c r="B277" s="0"/>
      <c r="C277" s="0" t="inlineStr">
        <is>
          <t xml:space="preserve">Software and tools</t>
        </is>
      </c>
      <c r="D277" s="4">
        <f>'Budget (annual operating plan)'!I115</f>
        <v>-11200</v>
      </c>
      <c r="E277" s="4">
        <f>'Budget (annual operating plan)'!J115</f>
        <v>-11300</v>
      </c>
      <c r="F277" s="4">
        <f>'Budget (annual operating plan)'!K115</f>
        <v>-11300</v>
      </c>
      <c r="G277" s="4">
        <f>'Budget (annual operating plan)'!L115</f>
        <v>-11400</v>
      </c>
      <c r="H277" s="4">
        <f>'Budget (annual operating plan)'!M115</f>
        <v>-11400</v>
      </c>
    </row>
    <row r="278">
      <c r="A278" s="0"/>
      <c r="B278" s="0"/>
      <c r="C278" s="0" t="inlineStr">
        <is>
          <t xml:space="preserve">Travel and events</t>
        </is>
      </c>
      <c r="D278" s="4">
        <f>'Budget (annual operating plan)'!I127</f>
        <v>-6100</v>
      </c>
      <c r="E278" s="4">
        <f>'Budget (annual operating plan)'!J127</f>
        <v>-6100</v>
      </c>
      <c r="F278" s="4">
        <f>'Budget (annual operating plan)'!K127</f>
        <v>-6200</v>
      </c>
      <c r="G278" s="4">
        <f>'Budget (annual operating plan)'!L127</f>
        <v>-6200</v>
      </c>
      <c r="H278" s="4">
        <f>'Budget (annual operating plan)'!M127</f>
        <v>-6200</v>
      </c>
    </row>
    <row r="279">
      <c r="A279" s="0"/>
      <c r="B279" s="0"/>
      <c r="C279" s="0" t="inlineStr">
        <is>
          <t xml:space="preserve">Rent and facilities</t>
        </is>
      </c>
      <c r="D279" s="4">
        <f>'Budget (annual operating plan)'!I139</f>
        <v>-89800</v>
      </c>
      <c r="E279" s="4">
        <f>'Budget (annual operating plan)'!J139</f>
        <v>-90100</v>
      </c>
      <c r="F279" s="4">
        <f>'Budget (annual operating plan)'!K139</f>
        <v>-90500</v>
      </c>
      <c r="G279" s="4">
        <f>'Budget (annual operating plan)'!L139</f>
        <v>-90900</v>
      </c>
      <c r="H279" s="4">
        <f>'Budget (annual operating plan)'!M139</f>
        <v>-91200</v>
      </c>
    </row>
    <row r="280">
      <c r="A280" s="0"/>
      <c r="B280" s="0"/>
      <c r="C280" s="0" t="inlineStr">
        <is>
          <t xml:space="preserve">Professional fees</t>
        </is>
      </c>
      <c r="D280" s="4">
        <f>'Budget (annual operating plan)'!I151</f>
        <v>-34700</v>
      </c>
      <c r="E280" s="4">
        <f>'Budget (annual operating plan)'!J151</f>
        <v>-34800</v>
      </c>
      <c r="F280" s="4">
        <f>'Budget (annual operating plan)'!K151</f>
        <v>-35000</v>
      </c>
      <c r="G280" s="4">
        <f>'Budget (annual operating plan)'!L151</f>
        <v>-35100</v>
      </c>
      <c r="H280" s="4">
        <f>'Budget (annual operating plan)'!M151</f>
        <v>-35200</v>
      </c>
    </row>
    <row r="281">
      <c r="A281" s="0"/>
      <c r="B281" s="0"/>
      <c r="C281" s="0" t="inlineStr">
        <is>
          <t xml:space="preserve">Net</t>
        </is>
      </c>
      <c r="D281" s="4">
        <f>'Budget (annual operating plan)'!I163</f>
        <v>-308200</v>
      </c>
      <c r="E281" s="4">
        <f>'Budget (annual operating plan)'!J163</f>
        <v>-308700</v>
      </c>
      <c r="F281" s="4">
        <f>'Budget (annual operating plan)'!K163</f>
        <v>-309400</v>
      </c>
      <c r="G281" s="4">
        <f>'Budget (annual operating plan)'!L163</f>
        <v>-325100</v>
      </c>
      <c r="H281" s="4">
        <f>'Budget (annual operating plan)'!M163</f>
        <v>-325500</v>
      </c>
    </row>
    <row r="282">
      <c r="A282" s="0" t="inlineStr">
        <is>
          <t xml:space="preserve">United Kingdom</t>
        </is>
      </c>
      <c r="B282" s="0" t="inlineStr">
        <is>
          <t xml:space="preserve">Company (revenue and cost of revenue)</t>
        </is>
      </c>
      <c r="C282" s="0" t="inlineStr">
        <is>
          <t xml:space="preserve">Revenue</t>
        </is>
      </c>
      <c r="D282" s="4">
        <f>'Budget (annual operating plan)'!I8</f>
        <v>2040900</v>
      </c>
      <c r="E282" s="4">
        <f>'Budget (annual operating plan)'!J8</f>
        <v>1969400</v>
      </c>
      <c r="F282" s="4">
        <f>'Budget (annual operating plan)'!K8</f>
        <v>1996000</v>
      </c>
      <c r="G282" s="4">
        <f>'Budget (annual operating plan)'!L8</f>
        <v>2149300</v>
      </c>
      <c r="H282" s="4">
        <f>'Budget (annual operating plan)'!M8</f>
        <v>2179300</v>
      </c>
    </row>
    <row r="283">
      <c r="A283" s="0"/>
      <c r="B283" s="0"/>
      <c r="C283" s="0" t="inlineStr">
        <is>
          <t xml:space="preserve">Cost of revenue: hosting</t>
        </is>
      </c>
      <c r="D283" s="4">
        <f>'Budget (annual operating plan)'!I20</f>
        <v>-224500</v>
      </c>
      <c r="E283" s="4">
        <f>'Budget (annual operating plan)'!J20</f>
        <v>-216600</v>
      </c>
      <c r="F283" s="4">
        <f>'Budget (annual operating plan)'!K20</f>
        <v>-219600</v>
      </c>
      <c r="G283" s="4">
        <f>'Budget (annual operating plan)'!L20</f>
        <v>-236400</v>
      </c>
      <c r="H283" s="4">
        <f>'Budget (annual operating plan)'!M20</f>
        <v>-239700</v>
      </c>
    </row>
    <row r="284">
      <c r="A284" s="0"/>
      <c r="B284" s="0"/>
      <c r="C284" s="0" t="inlineStr">
        <is>
          <t xml:space="preserve">Cost of revenue: support</t>
        </is>
      </c>
      <c r="D284" s="4">
        <f>'Budget (annual operating plan)'!I32</f>
        <v>-102000</v>
      </c>
      <c r="E284" s="4">
        <f>'Budget (annual operating plan)'!J32</f>
        <v>-98500</v>
      </c>
      <c r="F284" s="4">
        <f>'Budget (annual operating plan)'!K32</f>
        <v>-99800</v>
      </c>
      <c r="G284" s="4">
        <f>'Budget (annual operating plan)'!L32</f>
        <v>-107500</v>
      </c>
      <c r="H284" s="4">
        <f>'Budget (annual operating plan)'!M32</f>
        <v>-109000</v>
      </c>
    </row>
    <row r="285">
      <c r="A285" s="0"/>
      <c r="B285" s="0"/>
      <c r="C285" s="0" t="inlineStr">
        <is>
          <t xml:space="preserve">Salaries</t>
        </is>
      </c>
      <c r="D285" s="4">
        <f>'Budget (annual operating plan)'!I44</f>
      </c>
      <c r="E285" s="4">
        <f>'Budget (annual operating plan)'!J44</f>
      </c>
      <c r="F285" s="4">
        <f>'Budget (annual operating plan)'!K44</f>
      </c>
      <c r="G285" s="4">
        <f>'Budget (annual operating plan)'!L44</f>
      </c>
      <c r="H285" s="4">
        <f>'Budget (annual operating plan)'!M44</f>
      </c>
    </row>
    <row r="286">
      <c r="A286" s="0"/>
      <c r="B286" s="0"/>
      <c r="C286" s="0" t="inlineStr">
        <is>
          <t xml:space="preserve">Benefits and payroll taxes</t>
        </is>
      </c>
      <c r="D286" s="4">
        <f>'Budget (annual operating plan)'!I56</f>
      </c>
      <c r="E286" s="4">
        <f>'Budget (annual operating plan)'!J56</f>
      </c>
      <c r="F286" s="4">
        <f>'Budget (annual operating plan)'!K56</f>
      </c>
      <c r="G286" s="4">
        <f>'Budget (annual operating plan)'!L56</f>
      </c>
      <c r="H286" s="4">
        <f>'Budget (annual operating plan)'!M56</f>
      </c>
    </row>
    <row r="287">
      <c r="A287" s="0"/>
      <c r="B287" s="0"/>
      <c r="C287" s="0" t="inlineStr">
        <is>
          <t xml:space="preserve">Commissions</t>
        </is>
      </c>
      <c r="D287" s="4">
        <f>'Budget (annual operating plan)'!I68</f>
      </c>
      <c r="E287" s="4">
        <f>'Budget (annual operating plan)'!J68</f>
      </c>
      <c r="F287" s="4">
        <f>'Budget (annual operating plan)'!K68</f>
      </c>
      <c r="G287" s="4">
        <f>'Budget (annual operating plan)'!L68</f>
      </c>
      <c r="H287" s="4">
        <f>'Budget (annual operating plan)'!M68</f>
      </c>
    </row>
    <row r="288">
      <c r="A288" s="0"/>
      <c r="B288" s="0"/>
      <c r="C288" s="0" t="inlineStr">
        <is>
          <t xml:space="preserve">Contractors</t>
        </is>
      </c>
      <c r="D288" s="4">
        <f>'Budget (annual operating plan)'!I80</f>
      </c>
      <c r="E288" s="4">
        <f>'Budget (annual operating plan)'!J80</f>
      </c>
      <c r="F288" s="4">
        <f>'Budget (annual operating plan)'!K80</f>
      </c>
      <c r="G288" s="4">
        <f>'Budget (annual operating plan)'!L80</f>
      </c>
      <c r="H288" s="4">
        <f>'Budget (annual operating plan)'!M80</f>
      </c>
    </row>
    <row r="289">
      <c r="A289" s="0"/>
      <c r="B289" s="0"/>
      <c r="C289" s="0" t="inlineStr">
        <is>
          <t xml:space="preserve">Cloud and infrastructure</t>
        </is>
      </c>
      <c r="D289" s="4">
        <f>'Budget (annual operating plan)'!I92</f>
      </c>
      <c r="E289" s="4">
        <f>'Budget (annual operating plan)'!J92</f>
      </c>
      <c r="F289" s="4">
        <f>'Budget (annual operating plan)'!K92</f>
      </c>
      <c r="G289" s="4">
        <f>'Budget (annual operating plan)'!L92</f>
      </c>
      <c r="H289" s="4">
        <f>'Budget (annual operating plan)'!M92</f>
      </c>
    </row>
    <row r="290">
      <c r="A290" s="0"/>
      <c r="B290" s="0"/>
      <c r="C290" s="0" t="inlineStr">
        <is>
          <t xml:space="preserve">Marketing programs</t>
        </is>
      </c>
      <c r="D290" s="4">
        <f>'Budget (annual operating plan)'!I104</f>
      </c>
      <c r="E290" s="4">
        <f>'Budget (annual operating plan)'!J104</f>
      </c>
      <c r="F290" s="4">
        <f>'Budget (annual operating plan)'!K104</f>
      </c>
      <c r="G290" s="4">
        <f>'Budget (annual operating plan)'!L104</f>
      </c>
      <c r="H290" s="4">
        <f>'Budget (annual operating plan)'!M104</f>
      </c>
    </row>
    <row r="291">
      <c r="A291" s="0"/>
      <c r="B291" s="0"/>
      <c r="C291" s="0" t="inlineStr">
        <is>
          <t xml:space="preserve">Software and tools</t>
        </is>
      </c>
      <c r="D291" s="4">
        <f>'Budget (annual operating plan)'!I116</f>
      </c>
      <c r="E291" s="4">
        <f>'Budget (annual operating plan)'!J116</f>
      </c>
      <c r="F291" s="4">
        <f>'Budget (annual operating plan)'!K116</f>
      </c>
      <c r="G291" s="4">
        <f>'Budget (annual operating plan)'!L116</f>
      </c>
      <c r="H291" s="4">
        <f>'Budget (annual operating plan)'!M116</f>
      </c>
    </row>
    <row r="292">
      <c r="A292" s="0"/>
      <c r="B292" s="0"/>
      <c r="C292" s="0" t="inlineStr">
        <is>
          <t xml:space="preserve">Travel and events</t>
        </is>
      </c>
      <c r="D292" s="4">
        <f>'Budget (annual operating plan)'!I128</f>
      </c>
      <c r="E292" s="4">
        <f>'Budget (annual operating plan)'!J128</f>
      </c>
      <c r="F292" s="4">
        <f>'Budget (annual operating plan)'!K128</f>
      </c>
      <c r="G292" s="4">
        <f>'Budget (annual operating plan)'!L128</f>
      </c>
      <c r="H292" s="4">
        <f>'Budget (annual operating plan)'!M128</f>
      </c>
    </row>
    <row r="293">
      <c r="A293" s="0"/>
      <c r="B293" s="0"/>
      <c r="C293" s="0" t="inlineStr">
        <is>
          <t xml:space="preserve">Rent and facilities</t>
        </is>
      </c>
      <c r="D293" s="4">
        <f>'Budget (annual operating plan)'!I140</f>
      </c>
      <c r="E293" s="4">
        <f>'Budget (annual operating plan)'!J140</f>
      </c>
      <c r="F293" s="4">
        <f>'Budget (annual operating plan)'!K140</f>
      </c>
      <c r="G293" s="4">
        <f>'Budget (annual operating plan)'!L140</f>
      </c>
      <c r="H293" s="4">
        <f>'Budget (annual operating plan)'!M140</f>
      </c>
    </row>
    <row r="294">
      <c r="A294" s="0"/>
      <c r="B294" s="0"/>
      <c r="C294" s="0" t="inlineStr">
        <is>
          <t xml:space="preserve">Professional fees</t>
        </is>
      </c>
      <c r="D294" s="4">
        <f>'Budget (annual operating plan)'!I152</f>
      </c>
      <c r="E294" s="4">
        <f>'Budget (annual operating plan)'!J152</f>
      </c>
      <c r="F294" s="4">
        <f>'Budget (annual operating plan)'!K152</f>
      </c>
      <c r="G294" s="4">
        <f>'Budget (annual operating plan)'!L152</f>
      </c>
      <c r="H294" s="4">
        <f>'Budget (annual operating plan)'!M152</f>
      </c>
    </row>
    <row r="295">
      <c r="A295" s="0"/>
      <c r="B295" s="0"/>
      <c r="C295" s="0" t="inlineStr">
        <is>
          <t xml:space="preserve">Net</t>
        </is>
      </c>
      <c r="D295" s="4">
        <f>'Budget (annual operating plan)'!I164</f>
        <v>1714400</v>
      </c>
      <c r="E295" s="4">
        <f>'Budget (annual operating plan)'!J164</f>
        <v>1654300</v>
      </c>
      <c r="F295" s="4">
        <f>'Budget (annual operating plan)'!K164</f>
        <v>1676600</v>
      </c>
      <c r="G295" s="4">
        <f>'Budget (annual operating plan)'!L164</f>
        <v>1805400</v>
      </c>
      <c r="H295" s="4">
        <f>'Budget (annual operating plan)'!M164</f>
        <v>1830600</v>
      </c>
    </row>
    <row r="296">
      <c r="A296" s="0"/>
      <c r="B296" s="0" t="inlineStr">
        <is>
          <t xml:space="preserve">Sales</t>
        </is>
      </c>
      <c r="C296" s="0" t="inlineStr">
        <is>
          <t xml:space="preserve">Revenue</t>
        </is>
      </c>
      <c r="D296" s="4">
        <f>'Budget (annual operating plan)'!I9</f>
      </c>
      <c r="E296" s="4">
        <f>'Budget (annual operating plan)'!J9</f>
      </c>
      <c r="F296" s="4">
        <f>'Budget (annual operating plan)'!K9</f>
      </c>
      <c r="G296" s="4">
        <f>'Budget (annual operating plan)'!L9</f>
      </c>
      <c r="H296" s="4">
        <f>'Budget (annual operating plan)'!M9</f>
      </c>
    </row>
    <row r="297">
      <c r="A297" s="0"/>
      <c r="B297" s="0"/>
      <c r="C297" s="0" t="inlineStr">
        <is>
          <t xml:space="preserve">Cost of revenue: hosting</t>
        </is>
      </c>
      <c r="D297" s="4">
        <f>'Budget (annual operating plan)'!I21</f>
      </c>
      <c r="E297" s="4">
        <f>'Budget (annual operating plan)'!J21</f>
      </c>
      <c r="F297" s="4">
        <f>'Budget (annual operating plan)'!K21</f>
      </c>
      <c r="G297" s="4">
        <f>'Budget (annual operating plan)'!L21</f>
      </c>
      <c r="H297" s="4">
        <f>'Budget (annual operating plan)'!M21</f>
      </c>
    </row>
    <row r="298">
      <c r="A298" s="0"/>
      <c r="B298" s="0"/>
      <c r="C298" s="0" t="inlineStr">
        <is>
          <t xml:space="preserve">Cost of revenue: support</t>
        </is>
      </c>
      <c r="D298" s="4">
        <f>'Budget (annual operating plan)'!I33</f>
      </c>
      <c r="E298" s="4">
        <f>'Budget (annual operating plan)'!J33</f>
      </c>
      <c r="F298" s="4">
        <f>'Budget (annual operating plan)'!K33</f>
      </c>
      <c r="G298" s="4">
        <f>'Budget (annual operating plan)'!L33</f>
      </c>
      <c r="H298" s="4">
        <f>'Budget (annual operating plan)'!M33</f>
      </c>
    </row>
    <row r="299">
      <c r="A299" s="0"/>
      <c r="B299" s="0"/>
      <c r="C299" s="0" t="inlineStr">
        <is>
          <t xml:space="preserve">Salaries</t>
        </is>
      </c>
      <c r="D299" s="4">
        <f>'Budget (annual operating plan)'!I45</f>
        <v>-116900</v>
      </c>
      <c r="E299" s="4">
        <f>'Budget (annual operating plan)'!J45</f>
        <v>-116900</v>
      </c>
      <c r="F299" s="4">
        <f>'Budget (annual operating plan)'!K45</f>
        <v>-116900</v>
      </c>
      <c r="G299" s="4">
        <f>'Budget (annual operating plan)'!L45</f>
        <v>-140200</v>
      </c>
      <c r="H299" s="4">
        <f>'Budget (annual operating plan)'!M45</f>
        <v>-140200</v>
      </c>
    </row>
    <row r="300">
      <c r="A300" s="0"/>
      <c r="B300" s="0"/>
      <c r="C300" s="0" t="inlineStr">
        <is>
          <t xml:space="preserve">Benefits and payroll taxes</t>
        </is>
      </c>
      <c r="D300" s="4">
        <f>'Budget (annual operating plan)'!I57</f>
        <v>-24500</v>
      </c>
      <c r="E300" s="4">
        <f>'Budget (annual operating plan)'!J57</f>
        <v>-24500</v>
      </c>
      <c r="F300" s="4">
        <f>'Budget (annual operating plan)'!K57</f>
        <v>-24500</v>
      </c>
      <c r="G300" s="4">
        <f>'Budget (annual operating plan)'!L57</f>
        <v>-29500</v>
      </c>
      <c r="H300" s="4">
        <f>'Budget (annual operating plan)'!M57</f>
        <v>-29500</v>
      </c>
    </row>
    <row r="301">
      <c r="A301" s="0"/>
      <c r="B301" s="0"/>
      <c r="C301" s="0" t="inlineStr">
        <is>
          <t xml:space="preserve">Commissions</t>
        </is>
      </c>
      <c r="D301" s="4">
        <f>'Budget (annual operating plan)'!I69</f>
        <v>-91800</v>
      </c>
      <c r="E301" s="4">
        <f>'Budget (annual operating plan)'!J69</f>
        <v>-88600</v>
      </c>
      <c r="F301" s="4">
        <f>'Budget (annual operating plan)'!K69</f>
        <v>-89800</v>
      </c>
      <c r="G301" s="4">
        <f>'Budget (annual operating plan)'!L69</f>
        <v>-96700</v>
      </c>
      <c r="H301" s="4">
        <f>'Budget (annual operating plan)'!M69</f>
        <v>-98100</v>
      </c>
    </row>
    <row r="302">
      <c r="A302" s="0"/>
      <c r="B302" s="0"/>
      <c r="C302" s="0" t="inlineStr">
        <is>
          <t xml:space="preserve">Contractors</t>
        </is>
      </c>
      <c r="D302" s="4">
        <f>'Budget (annual operating plan)'!I81</f>
      </c>
      <c r="E302" s="4">
        <f>'Budget (annual operating plan)'!J81</f>
      </c>
      <c r="F302" s="4">
        <f>'Budget (annual operating plan)'!K81</f>
      </c>
      <c r="G302" s="4">
        <f>'Budget (annual operating plan)'!L81</f>
      </c>
      <c r="H302" s="4">
        <f>'Budget (annual operating plan)'!M81</f>
      </c>
    </row>
    <row r="303">
      <c r="A303" s="0"/>
      <c r="B303" s="0"/>
      <c r="C303" s="0" t="inlineStr">
        <is>
          <t xml:space="preserve">Cloud and infrastructure</t>
        </is>
      </c>
      <c r="D303" s="4">
        <f>'Budget (annual operating plan)'!I93</f>
      </c>
      <c r="E303" s="4">
        <f>'Budget (annual operating plan)'!J93</f>
      </c>
      <c r="F303" s="4">
        <f>'Budget (annual operating plan)'!K93</f>
      </c>
      <c r="G303" s="4">
        <f>'Budget (annual operating plan)'!L93</f>
      </c>
      <c r="H303" s="4">
        <f>'Budget (annual operating plan)'!M93</f>
      </c>
    </row>
    <row r="304">
      <c r="A304" s="0"/>
      <c r="B304" s="0"/>
      <c r="C304" s="0" t="inlineStr">
        <is>
          <t xml:space="preserve">Marketing programs</t>
        </is>
      </c>
      <c r="D304" s="4">
        <f>'Budget (annual operating plan)'!I105</f>
      </c>
      <c r="E304" s="4">
        <f>'Budget (annual operating plan)'!J105</f>
      </c>
      <c r="F304" s="4">
        <f>'Budget (annual operating plan)'!K105</f>
      </c>
      <c r="G304" s="4">
        <f>'Budget (annual operating plan)'!L105</f>
      </c>
      <c r="H304" s="4">
        <f>'Budget (annual operating plan)'!M105</f>
      </c>
    </row>
    <row r="305">
      <c r="A305" s="0"/>
      <c r="B305" s="0"/>
      <c r="C305" s="0" t="inlineStr">
        <is>
          <t xml:space="preserve">Software and tools</t>
        </is>
      </c>
      <c r="D305" s="4">
        <f>'Budget (annual operating plan)'!I117</f>
        <v>-3900</v>
      </c>
      <c r="E305" s="4">
        <f>'Budget (annual operating plan)'!J117</f>
        <v>-3900</v>
      </c>
      <c r="F305" s="4">
        <f>'Budget (annual operating plan)'!K117</f>
        <v>-3900</v>
      </c>
      <c r="G305" s="4">
        <f>'Budget (annual operating plan)'!L117</f>
        <v>-3900</v>
      </c>
      <c r="H305" s="4">
        <f>'Budget (annual operating plan)'!M117</f>
        <v>-3900</v>
      </c>
    </row>
    <row r="306">
      <c r="A306" s="0"/>
      <c r="B306" s="0"/>
      <c r="C306" s="0" t="inlineStr">
        <is>
          <t xml:space="preserve">Travel and events</t>
        </is>
      </c>
      <c r="D306" s="4">
        <f>'Budget (annual operating plan)'!I129</f>
        <v>-16300</v>
      </c>
      <c r="E306" s="4">
        <f>'Budget (annual operating plan)'!J129</f>
        <v>-16300</v>
      </c>
      <c r="F306" s="4">
        <f>'Budget (annual operating plan)'!K129</f>
        <v>-16400</v>
      </c>
      <c r="G306" s="4">
        <f>'Budget (annual operating plan)'!L129</f>
        <v>-16500</v>
      </c>
      <c r="H306" s="4">
        <f>'Budget (annual operating plan)'!M129</f>
        <v>-16500</v>
      </c>
    </row>
    <row r="307">
      <c r="A307" s="0"/>
      <c r="B307" s="0"/>
      <c r="C307" s="0" t="inlineStr">
        <is>
          <t xml:space="preserve">Rent and facilities</t>
        </is>
      </c>
      <c r="D307" s="4">
        <f>'Budget (annual operating plan)'!I141</f>
      </c>
      <c r="E307" s="4">
        <f>'Budget (annual operating plan)'!J141</f>
      </c>
      <c r="F307" s="4">
        <f>'Budget (annual operating plan)'!K141</f>
      </c>
      <c r="G307" s="4">
        <f>'Budget (annual operating plan)'!L141</f>
      </c>
      <c r="H307" s="4">
        <f>'Budget (annual operating plan)'!M141</f>
      </c>
    </row>
    <row r="308">
      <c r="A308" s="0"/>
      <c r="B308" s="0"/>
      <c r="C308" s="0" t="inlineStr">
        <is>
          <t xml:space="preserve">Professional fees</t>
        </is>
      </c>
      <c r="D308" s="4">
        <f>'Budget (annual operating plan)'!I153</f>
      </c>
      <c r="E308" s="4">
        <f>'Budget (annual operating plan)'!J153</f>
      </c>
      <c r="F308" s="4">
        <f>'Budget (annual operating plan)'!K153</f>
      </c>
      <c r="G308" s="4">
        <f>'Budget (annual operating plan)'!L153</f>
      </c>
      <c r="H308" s="4">
        <f>'Budget (annual operating plan)'!M153</f>
      </c>
    </row>
    <row r="309">
      <c r="A309" s="0"/>
      <c r="B309" s="0"/>
      <c r="C309" s="0" t="inlineStr">
        <is>
          <t xml:space="preserve">Net</t>
        </is>
      </c>
      <c r="D309" s="4">
        <f>'Budget (annual operating plan)'!I165</f>
        <v>-253400</v>
      </c>
      <c r="E309" s="4">
        <f>'Budget (annual operating plan)'!J165</f>
        <v>-250200</v>
      </c>
      <c r="F309" s="4">
        <f>'Budget (annual operating plan)'!K165</f>
        <v>-251500</v>
      </c>
      <c r="G309" s="4">
        <f>'Budget (annual operating plan)'!L165</f>
        <v>-286800</v>
      </c>
      <c r="H309" s="4">
        <f>'Budget (annual operating plan)'!M165</f>
        <v>-288200</v>
      </c>
    </row>
    <row r="310">
      <c r="A310" s="0"/>
      <c r="B310" s="0" t="inlineStr">
        <is>
          <t xml:space="preserve">Marketing</t>
        </is>
      </c>
      <c r="C310" s="0" t="inlineStr">
        <is>
          <t xml:space="preserve">Revenue</t>
        </is>
      </c>
      <c r="D310" s="4">
        <f>'Budget (annual operating plan)'!I10</f>
      </c>
      <c r="E310" s="4">
        <f>'Budget (annual operating plan)'!J10</f>
      </c>
      <c r="F310" s="4">
        <f>'Budget (annual operating plan)'!K10</f>
      </c>
      <c r="G310" s="4">
        <f>'Budget (annual operating plan)'!L10</f>
      </c>
      <c r="H310" s="4">
        <f>'Budget (annual operating plan)'!M10</f>
      </c>
    </row>
    <row r="311">
      <c r="A311" s="0"/>
      <c r="B311" s="0"/>
      <c r="C311" s="0" t="inlineStr">
        <is>
          <t xml:space="preserve">Cost of revenue: hosting</t>
        </is>
      </c>
      <c r="D311" s="4">
        <f>'Budget (annual operating plan)'!I22</f>
      </c>
      <c r="E311" s="4">
        <f>'Budget (annual operating plan)'!J22</f>
      </c>
      <c r="F311" s="4">
        <f>'Budget (annual operating plan)'!K22</f>
      </c>
      <c r="G311" s="4">
        <f>'Budget (annual operating plan)'!L22</f>
      </c>
      <c r="H311" s="4">
        <f>'Budget (annual operating plan)'!M22</f>
      </c>
    </row>
    <row r="312">
      <c r="A312" s="0"/>
      <c r="B312" s="0"/>
      <c r="C312" s="0" t="inlineStr">
        <is>
          <t xml:space="preserve">Cost of revenue: support</t>
        </is>
      </c>
      <c r="D312" s="4">
        <f>'Budget (annual operating plan)'!I34</f>
      </c>
      <c r="E312" s="4">
        <f>'Budget (annual operating plan)'!J34</f>
      </c>
      <c r="F312" s="4">
        <f>'Budget (annual operating plan)'!K34</f>
      </c>
      <c r="G312" s="4">
        <f>'Budget (annual operating plan)'!L34</f>
      </c>
      <c r="H312" s="4">
        <f>'Budget (annual operating plan)'!M34</f>
      </c>
    </row>
    <row r="313">
      <c r="A313" s="0"/>
      <c r="B313" s="0"/>
      <c r="C313" s="0" t="inlineStr">
        <is>
          <t xml:space="preserve">Salaries</t>
        </is>
      </c>
      <c r="D313" s="4">
        <f>'Budget (annual operating plan)'!I46</f>
        <v>-49600</v>
      </c>
      <c r="E313" s="4">
        <f>'Budget (annual operating plan)'!J46</f>
        <v>-59500</v>
      </c>
      <c r="F313" s="4">
        <f>'Budget (annual operating plan)'!K46</f>
        <v>-59500</v>
      </c>
      <c r="G313" s="4">
        <f>'Budget (annual operating plan)'!L46</f>
        <v>-59500</v>
      </c>
      <c r="H313" s="4">
        <f>'Budget (annual operating plan)'!M46</f>
        <v>-59500</v>
      </c>
    </row>
    <row r="314">
      <c r="A314" s="0"/>
      <c r="B314" s="0"/>
      <c r="C314" s="0" t="inlineStr">
        <is>
          <t xml:space="preserve">Benefits and payroll taxes</t>
        </is>
      </c>
      <c r="D314" s="4">
        <f>'Budget (annual operating plan)'!I58</f>
        <v>-10400</v>
      </c>
      <c r="E314" s="4">
        <f>'Budget (annual operating plan)'!J58</f>
        <v>-12500</v>
      </c>
      <c r="F314" s="4">
        <f>'Budget (annual operating plan)'!K58</f>
        <v>-12500</v>
      </c>
      <c r="G314" s="4">
        <f>'Budget (annual operating plan)'!L58</f>
        <v>-12500</v>
      </c>
      <c r="H314" s="4">
        <f>'Budget (annual operating plan)'!M58</f>
        <v>-12500</v>
      </c>
    </row>
    <row r="315">
      <c r="A315" s="0"/>
      <c r="B315" s="0"/>
      <c r="C315" s="0" t="inlineStr">
        <is>
          <t xml:space="preserve">Commissions</t>
        </is>
      </c>
      <c r="D315" s="4">
        <f>'Budget (annual operating plan)'!I70</f>
      </c>
      <c r="E315" s="4">
        <f>'Budget (annual operating plan)'!J70</f>
      </c>
      <c r="F315" s="4">
        <f>'Budget (annual operating plan)'!K70</f>
      </c>
      <c r="G315" s="4">
        <f>'Budget (annual operating plan)'!L70</f>
      </c>
      <c r="H315" s="4">
        <f>'Budget (annual operating plan)'!M70</f>
      </c>
    </row>
    <row r="316">
      <c r="A316" s="0"/>
      <c r="B316" s="0"/>
      <c r="C316" s="0" t="inlineStr">
        <is>
          <t xml:space="preserve">Contractors</t>
        </is>
      </c>
      <c r="D316" s="4">
        <f>'Budget (annual operating plan)'!I82</f>
      </c>
      <c r="E316" s="4">
        <f>'Budget (annual operating plan)'!J82</f>
      </c>
      <c r="F316" s="4">
        <f>'Budget (annual operating plan)'!K82</f>
      </c>
      <c r="G316" s="4">
        <f>'Budget (annual operating plan)'!L82</f>
      </c>
      <c r="H316" s="4">
        <f>'Budget (annual operating plan)'!M82</f>
      </c>
    </row>
    <row r="317">
      <c r="A317" s="0"/>
      <c r="B317" s="0"/>
      <c r="C317" s="0" t="inlineStr">
        <is>
          <t xml:space="preserve">Cloud and infrastructure</t>
        </is>
      </c>
      <c r="D317" s="4">
        <f>'Budget (annual operating plan)'!I94</f>
      </c>
      <c r="E317" s="4">
        <f>'Budget (annual operating plan)'!J94</f>
      </c>
      <c r="F317" s="4">
        <f>'Budget (annual operating plan)'!K94</f>
      </c>
      <c r="G317" s="4">
        <f>'Budget (annual operating plan)'!L94</f>
      </c>
      <c r="H317" s="4">
        <f>'Budget (annual operating plan)'!M94</f>
      </c>
    </row>
    <row r="318">
      <c r="A318" s="0"/>
      <c r="B318" s="0"/>
      <c r="C318" s="0" t="inlineStr">
        <is>
          <t xml:space="preserve">Marketing programs</t>
        </is>
      </c>
      <c r="D318" s="4">
        <f>'Budget (annual operating plan)'!I106</f>
        <v>-163300</v>
      </c>
      <c r="E318" s="4">
        <f>'Budget (annual operating plan)'!J106</f>
        <v>-157500</v>
      </c>
      <c r="F318" s="4">
        <f>'Budget (annual operating plan)'!K106</f>
        <v>-159700</v>
      </c>
      <c r="G318" s="4">
        <f>'Budget (annual operating plan)'!L106</f>
        <v>-171900</v>
      </c>
      <c r="H318" s="4">
        <f>'Budget (annual operating plan)'!M106</f>
        <v>-174300</v>
      </c>
    </row>
    <row r="319">
      <c r="A319" s="0"/>
      <c r="B319" s="0"/>
      <c r="C319" s="0" t="inlineStr">
        <is>
          <t xml:space="preserve">Software and tools</t>
        </is>
      </c>
      <c r="D319" s="4">
        <f>'Budget (annual operating plan)'!I118</f>
        <v>-6000</v>
      </c>
      <c r="E319" s="4">
        <f>'Budget (annual operating plan)'!J118</f>
        <v>-6000</v>
      </c>
      <c r="F319" s="4">
        <f>'Budget (annual operating plan)'!K118</f>
        <v>-6000</v>
      </c>
      <c r="G319" s="4">
        <f>'Budget (annual operating plan)'!L118</f>
        <v>-6100</v>
      </c>
      <c r="H319" s="4">
        <f>'Budget (annual operating plan)'!M118</f>
        <v>-6100</v>
      </c>
    </row>
    <row r="320">
      <c r="A320" s="0"/>
      <c r="B320" s="0"/>
      <c r="C320" s="0" t="inlineStr">
        <is>
          <t xml:space="preserve">Travel and events</t>
        </is>
      </c>
      <c r="D320" s="4">
        <f>'Budget (annual operating plan)'!I130</f>
        <v>-5100</v>
      </c>
      <c r="E320" s="4">
        <f>'Budget (annual operating plan)'!J130</f>
        <v>-5200</v>
      </c>
      <c r="F320" s="4">
        <f>'Budget (annual operating plan)'!K130</f>
        <v>-5200</v>
      </c>
      <c r="G320" s="4">
        <f>'Budget (annual operating plan)'!L130</f>
        <v>-5200</v>
      </c>
      <c r="H320" s="4">
        <f>'Budget (annual operating plan)'!M130</f>
        <v>-5200</v>
      </c>
    </row>
    <row r="321">
      <c r="A321" s="0"/>
      <c r="B321" s="0"/>
      <c r="C321" s="0" t="inlineStr">
        <is>
          <t xml:space="preserve">Rent and facilities</t>
        </is>
      </c>
      <c r="D321" s="4">
        <f>'Budget (annual operating plan)'!I142</f>
      </c>
      <c r="E321" s="4">
        <f>'Budget (annual operating plan)'!J142</f>
      </c>
      <c r="F321" s="4">
        <f>'Budget (annual operating plan)'!K142</f>
      </c>
      <c r="G321" s="4">
        <f>'Budget (annual operating plan)'!L142</f>
      </c>
      <c r="H321" s="4">
        <f>'Budget (annual operating plan)'!M142</f>
      </c>
    </row>
    <row r="322">
      <c r="A322" s="0"/>
      <c r="B322" s="0"/>
      <c r="C322" s="0" t="inlineStr">
        <is>
          <t xml:space="preserve">Professional fees</t>
        </is>
      </c>
      <c r="D322" s="4">
        <f>'Budget (annual operating plan)'!I154</f>
      </c>
      <c r="E322" s="4">
        <f>'Budget (annual operating plan)'!J154</f>
      </c>
      <c r="F322" s="4">
        <f>'Budget (annual operating plan)'!K154</f>
      </c>
      <c r="G322" s="4">
        <f>'Budget (annual operating plan)'!L154</f>
      </c>
      <c r="H322" s="4">
        <f>'Budget (annual operating plan)'!M154</f>
      </c>
    </row>
    <row r="323">
      <c r="A323" s="0"/>
      <c r="B323" s="0"/>
      <c r="C323" s="0" t="inlineStr">
        <is>
          <t xml:space="preserve">Net</t>
        </is>
      </c>
      <c r="D323" s="4">
        <f>'Budget (annual operating plan)'!I166</f>
        <v>-234400</v>
      </c>
      <c r="E323" s="4">
        <f>'Budget (annual operating plan)'!J166</f>
        <v>-240700</v>
      </c>
      <c r="F323" s="4">
        <f>'Budget (annual operating plan)'!K166</f>
        <v>-242900</v>
      </c>
      <c r="G323" s="4">
        <f>'Budget (annual operating plan)'!L166</f>
        <v>-255200</v>
      </c>
      <c r="H323" s="4">
        <f>'Budget (annual operating plan)'!M166</f>
        <v>-257600</v>
      </c>
    </row>
    <row r="324">
      <c r="A324" s="0"/>
      <c r="B324" s="0" t="inlineStr">
        <is>
          <t xml:space="preserve">Engineering</t>
        </is>
      </c>
      <c r="C324" s="0" t="inlineStr">
        <is>
          <t xml:space="preserve">Revenue</t>
        </is>
      </c>
      <c r="D324" s="4">
        <f>'Budget (annual operating plan)'!I11</f>
      </c>
      <c r="E324" s="4">
        <f>'Budget (annual operating plan)'!J11</f>
      </c>
      <c r="F324" s="4">
        <f>'Budget (annual operating plan)'!K11</f>
      </c>
      <c r="G324" s="4">
        <f>'Budget (annual operating plan)'!L11</f>
      </c>
      <c r="H324" s="4">
        <f>'Budget (annual operating plan)'!M11</f>
      </c>
    </row>
    <row r="325">
      <c r="A325" s="0"/>
      <c r="B325" s="0"/>
      <c r="C325" s="0" t="inlineStr">
        <is>
          <t xml:space="preserve">Cost of revenue: hosting</t>
        </is>
      </c>
      <c r="D325" s="4">
        <f>'Budget (annual operating plan)'!I23</f>
      </c>
      <c r="E325" s="4">
        <f>'Budget (annual operating plan)'!J23</f>
      </c>
      <c r="F325" s="4">
        <f>'Budget (annual operating plan)'!K23</f>
      </c>
      <c r="G325" s="4">
        <f>'Budget (annual operating plan)'!L23</f>
      </c>
      <c r="H325" s="4">
        <f>'Budget (annual operating plan)'!M23</f>
      </c>
    </row>
    <row r="326">
      <c r="A326" s="0"/>
      <c r="B326" s="0"/>
      <c r="C326" s="0" t="inlineStr">
        <is>
          <t xml:space="preserve">Cost of revenue: support</t>
        </is>
      </c>
      <c r="D326" s="4">
        <f>'Budget (annual operating plan)'!I35</f>
      </c>
      <c r="E326" s="4">
        <f>'Budget (annual operating plan)'!J35</f>
      </c>
      <c r="F326" s="4">
        <f>'Budget (annual operating plan)'!K35</f>
      </c>
      <c r="G326" s="4">
        <f>'Budget (annual operating plan)'!L35</f>
      </c>
      <c r="H326" s="4">
        <f>'Budget (annual operating plan)'!M35</f>
      </c>
    </row>
    <row r="327">
      <c r="A327" s="0"/>
      <c r="B327" s="0"/>
      <c r="C327" s="0" t="inlineStr">
        <is>
          <t xml:space="preserve">Salaries</t>
        </is>
      </c>
      <c r="D327" s="4">
        <f>'Budget (annual operating plan)'!I47</f>
        <v>-282600</v>
      </c>
      <c r="E327" s="4">
        <f>'Budget (annual operating plan)'!J47</f>
        <v>-296100</v>
      </c>
      <c r="F327" s="4">
        <f>'Budget (annual operating plan)'!K47</f>
        <v>-296100</v>
      </c>
      <c r="G327" s="4">
        <f>'Budget (annual operating plan)'!L47</f>
        <v>-336500</v>
      </c>
      <c r="H327" s="4">
        <f>'Budget (annual operating plan)'!M47</f>
        <v>-336500</v>
      </c>
    </row>
    <row r="328">
      <c r="A328" s="0"/>
      <c r="B328" s="0"/>
      <c r="C328" s="0" t="inlineStr">
        <is>
          <t xml:space="preserve">Benefits and payroll taxes</t>
        </is>
      </c>
      <c r="D328" s="4">
        <f>'Budget (annual operating plan)'!I59</f>
        <v>-59400</v>
      </c>
      <c r="E328" s="4">
        <f>'Budget (annual operating plan)'!J59</f>
        <v>-62200</v>
      </c>
      <c r="F328" s="4">
        <f>'Budget (annual operating plan)'!K59</f>
        <v>-62200</v>
      </c>
      <c r="G328" s="4">
        <f>'Budget (annual operating plan)'!L59</f>
        <v>-70700</v>
      </c>
      <c r="H328" s="4">
        <f>'Budget (annual operating plan)'!M59</f>
        <v>-70700</v>
      </c>
    </row>
    <row r="329">
      <c r="A329" s="0"/>
      <c r="B329" s="0"/>
      <c r="C329" s="0" t="inlineStr">
        <is>
          <t xml:space="preserve">Commissions</t>
        </is>
      </c>
      <c r="D329" s="4">
        <f>'Budget (annual operating plan)'!I71</f>
      </c>
      <c r="E329" s="4">
        <f>'Budget (annual operating plan)'!J71</f>
      </c>
      <c r="F329" s="4">
        <f>'Budget (annual operating plan)'!K71</f>
      </c>
      <c r="G329" s="4">
        <f>'Budget (annual operating plan)'!L71</f>
      </c>
      <c r="H329" s="4">
        <f>'Budget (annual operating plan)'!M71</f>
      </c>
    </row>
    <row r="330">
      <c r="A330" s="0"/>
      <c r="B330" s="0"/>
      <c r="C330" s="0" t="inlineStr">
        <is>
          <t xml:space="preserve">Contractors</t>
        </is>
      </c>
      <c r="D330" s="4">
        <f>'Budget (annual operating plan)'!I83</f>
        <v>-26600</v>
      </c>
      <c r="E330" s="4">
        <f>'Budget (annual operating plan)'!J83</f>
        <v>-26700</v>
      </c>
      <c r="F330" s="4">
        <f>'Budget (annual operating plan)'!K83</f>
        <v>-26800</v>
      </c>
      <c r="G330" s="4">
        <f>'Budget (annual operating plan)'!L83</f>
        <v>-26900</v>
      </c>
      <c r="H330" s="4">
        <f>'Budget (annual operating plan)'!M83</f>
        <v>-27000</v>
      </c>
    </row>
    <row r="331">
      <c r="A331" s="0"/>
      <c r="B331" s="0"/>
      <c r="C331" s="0" t="inlineStr">
        <is>
          <t xml:space="preserve">Cloud and infrastructure</t>
        </is>
      </c>
      <c r="D331" s="4">
        <f>'Budget (annual operating plan)'!I95</f>
        <v>-153100</v>
      </c>
      <c r="E331" s="4">
        <f>'Budget (annual operating plan)'!J95</f>
        <v>-147700</v>
      </c>
      <c r="F331" s="4">
        <f>'Budget (annual operating plan)'!K95</f>
        <v>-149700</v>
      </c>
      <c r="G331" s="4">
        <f>'Budget (annual operating plan)'!L95</f>
        <v>-161200</v>
      </c>
      <c r="H331" s="4">
        <f>'Budget (annual operating plan)'!M95</f>
        <v>-163400</v>
      </c>
    </row>
    <row r="332">
      <c r="A332" s="0"/>
      <c r="B332" s="0"/>
      <c r="C332" s="0" t="inlineStr">
        <is>
          <t xml:space="preserve">Marketing programs</t>
        </is>
      </c>
      <c r="D332" s="4">
        <f>'Budget (annual operating plan)'!I107</f>
      </c>
      <c r="E332" s="4">
        <f>'Budget (annual operating plan)'!J107</f>
      </c>
      <c r="F332" s="4">
        <f>'Budget (annual operating plan)'!K107</f>
      </c>
      <c r="G332" s="4">
        <f>'Budget (annual operating plan)'!L107</f>
      </c>
      <c r="H332" s="4">
        <f>'Budget (annual operating plan)'!M107</f>
      </c>
    </row>
    <row r="333">
      <c r="A333" s="0"/>
      <c r="B333" s="0"/>
      <c r="C333" s="0" t="inlineStr">
        <is>
          <t xml:space="preserve">Software and tools</t>
        </is>
      </c>
      <c r="D333" s="4">
        <f>'Budget (annual operating plan)'!I119</f>
        <v>-9000</v>
      </c>
      <c r="E333" s="4">
        <f>'Budget (annual operating plan)'!J119</f>
        <v>-9000</v>
      </c>
      <c r="F333" s="4">
        <f>'Budget (annual operating plan)'!K119</f>
        <v>-9100</v>
      </c>
      <c r="G333" s="4">
        <f>'Budget (annual operating plan)'!L119</f>
        <v>-9100</v>
      </c>
      <c r="H333" s="4">
        <f>'Budget (annual operating plan)'!M119</f>
        <v>-9100</v>
      </c>
    </row>
    <row r="334">
      <c r="A334" s="0"/>
      <c r="B334" s="0"/>
      <c r="C334" s="0" t="inlineStr">
        <is>
          <t xml:space="preserve">Travel and events</t>
        </is>
      </c>
      <c r="D334" s="4">
        <f>'Budget (annual operating plan)'!I131</f>
      </c>
      <c r="E334" s="4">
        <f>'Budget (annual operating plan)'!J131</f>
      </c>
      <c r="F334" s="4">
        <f>'Budget (annual operating plan)'!K131</f>
      </c>
      <c r="G334" s="4">
        <f>'Budget (annual operating plan)'!L131</f>
      </c>
      <c r="H334" s="4">
        <f>'Budget (annual operating plan)'!M131</f>
      </c>
    </row>
    <row r="335">
      <c r="A335" s="0"/>
      <c r="B335" s="0"/>
      <c r="C335" s="0" t="inlineStr">
        <is>
          <t xml:space="preserve">Rent and facilities</t>
        </is>
      </c>
      <c r="D335" s="4">
        <f>'Budget (annual operating plan)'!I143</f>
      </c>
      <c r="E335" s="4">
        <f>'Budget (annual operating plan)'!J143</f>
      </c>
      <c r="F335" s="4">
        <f>'Budget (annual operating plan)'!K143</f>
      </c>
      <c r="G335" s="4">
        <f>'Budget (annual operating plan)'!L143</f>
      </c>
      <c r="H335" s="4">
        <f>'Budget (annual operating plan)'!M143</f>
      </c>
    </row>
    <row r="336">
      <c r="A336" s="0"/>
      <c r="B336" s="0"/>
      <c r="C336" s="0" t="inlineStr">
        <is>
          <t xml:space="preserve">Professional fees</t>
        </is>
      </c>
      <c r="D336" s="4">
        <f>'Budget (annual operating plan)'!I155</f>
      </c>
      <c r="E336" s="4">
        <f>'Budget (annual operating plan)'!J155</f>
      </c>
      <c r="F336" s="4">
        <f>'Budget (annual operating plan)'!K155</f>
      </c>
      <c r="G336" s="4">
        <f>'Budget (annual operating plan)'!L155</f>
      </c>
      <c r="H336" s="4">
        <f>'Budget (annual operating plan)'!M155</f>
      </c>
    </row>
    <row r="337">
      <c r="A337" s="0"/>
      <c r="B337" s="0"/>
      <c r="C337" s="0" t="inlineStr">
        <is>
          <t xml:space="preserve">Net</t>
        </is>
      </c>
      <c r="D337" s="4">
        <f>'Budget (annual operating plan)'!I167</f>
        <v>-530700</v>
      </c>
      <c r="E337" s="4">
        <f>'Budget (annual operating plan)'!J167</f>
        <v>-541700</v>
      </c>
      <c r="F337" s="4">
        <f>'Budget (annual operating plan)'!K167</f>
        <v>-543900</v>
      </c>
      <c r="G337" s="4">
        <f>'Budget (annual operating plan)'!L167</f>
        <v>-604400</v>
      </c>
      <c r="H337" s="4">
        <f>'Budget (annual operating plan)'!M167</f>
        <v>-606700</v>
      </c>
    </row>
    <row r="338">
      <c r="A338" s="0"/>
      <c r="B338" s="0" t="inlineStr">
        <is>
          <t xml:space="preserve">Customer success</t>
        </is>
      </c>
      <c r="C338" s="0" t="inlineStr">
        <is>
          <t xml:space="preserve">Revenue</t>
        </is>
      </c>
      <c r="D338" s="4">
        <f>'Budget (annual operating plan)'!I12</f>
      </c>
      <c r="E338" s="4">
        <f>'Budget (annual operating plan)'!J12</f>
      </c>
      <c r="F338" s="4">
        <f>'Budget (annual operating plan)'!K12</f>
      </c>
      <c r="G338" s="4">
        <f>'Budget (annual operating plan)'!L12</f>
      </c>
      <c r="H338" s="4">
        <f>'Budget (annual operating plan)'!M12</f>
      </c>
    </row>
    <row r="339">
      <c r="A339" s="0"/>
      <c r="B339" s="0"/>
      <c r="C339" s="0" t="inlineStr">
        <is>
          <t xml:space="preserve">Cost of revenue: hosting</t>
        </is>
      </c>
      <c r="D339" s="4">
        <f>'Budget (annual operating plan)'!I24</f>
      </c>
      <c r="E339" s="4">
        <f>'Budget (annual operating plan)'!J24</f>
      </c>
      <c r="F339" s="4">
        <f>'Budget (annual operating plan)'!K24</f>
      </c>
      <c r="G339" s="4">
        <f>'Budget (annual operating plan)'!L24</f>
      </c>
      <c r="H339" s="4">
        <f>'Budget (annual operating plan)'!M24</f>
      </c>
    </row>
    <row r="340">
      <c r="A340" s="0"/>
      <c r="B340" s="0"/>
      <c r="C340" s="0" t="inlineStr">
        <is>
          <t xml:space="preserve">Cost of revenue: support</t>
        </is>
      </c>
      <c r="D340" s="4">
        <f>'Budget (annual operating plan)'!I36</f>
      </c>
      <c r="E340" s="4">
        <f>'Budget (annual operating plan)'!J36</f>
      </c>
      <c r="F340" s="4">
        <f>'Budget (annual operating plan)'!K36</f>
      </c>
      <c r="G340" s="4">
        <f>'Budget (annual operating plan)'!L36</f>
      </c>
      <c r="H340" s="4">
        <f>'Budget (annual operating plan)'!M36</f>
      </c>
    </row>
    <row r="341">
      <c r="A341" s="0"/>
      <c r="B341" s="0"/>
      <c r="C341" s="0" t="inlineStr">
        <is>
          <t xml:space="preserve">Salaries</t>
        </is>
      </c>
      <c r="D341" s="4">
        <f>'Budget (annual operating plan)'!I48</f>
        <v>-46800</v>
      </c>
      <c r="E341" s="4">
        <f>'Budget (annual operating plan)'!J48</f>
        <v>-46800</v>
      </c>
      <c r="F341" s="4">
        <f>'Budget (annual operating plan)'!K48</f>
        <v>-46800</v>
      </c>
      <c r="G341" s="4">
        <f>'Budget (annual operating plan)'!L48</f>
        <v>-46800</v>
      </c>
      <c r="H341" s="4">
        <f>'Budget (annual operating plan)'!M48</f>
        <v>-46800</v>
      </c>
    </row>
    <row r="342">
      <c r="A342" s="0"/>
      <c r="B342" s="0"/>
      <c r="C342" s="0" t="inlineStr">
        <is>
          <t xml:space="preserve">Benefits and payroll taxes</t>
        </is>
      </c>
      <c r="D342" s="4">
        <f>'Budget (annual operating plan)'!I60</f>
        <v>-9800</v>
      </c>
      <c r="E342" s="4">
        <f>'Budget (annual operating plan)'!J60</f>
        <v>-9800</v>
      </c>
      <c r="F342" s="4">
        <f>'Budget (annual operating plan)'!K60</f>
        <v>-9800</v>
      </c>
      <c r="G342" s="4">
        <f>'Budget (annual operating plan)'!L60</f>
        <v>-9800</v>
      </c>
      <c r="H342" s="4">
        <f>'Budget (annual operating plan)'!M60</f>
        <v>-9800</v>
      </c>
    </row>
    <row r="343">
      <c r="A343" s="0"/>
      <c r="B343" s="0"/>
      <c r="C343" s="0" t="inlineStr">
        <is>
          <t xml:space="preserve">Commissions</t>
        </is>
      </c>
      <c r="D343" s="4">
        <f>'Budget (annual operating plan)'!I72</f>
      </c>
      <c r="E343" s="4">
        <f>'Budget (annual operating plan)'!J72</f>
      </c>
      <c r="F343" s="4">
        <f>'Budget (annual operating plan)'!K72</f>
      </c>
      <c r="G343" s="4">
        <f>'Budget (annual operating plan)'!L72</f>
      </c>
      <c r="H343" s="4">
        <f>'Budget (annual operating plan)'!M72</f>
      </c>
    </row>
    <row r="344">
      <c r="A344" s="0"/>
      <c r="B344" s="0"/>
      <c r="C344" s="0" t="inlineStr">
        <is>
          <t xml:space="preserve">Contractors</t>
        </is>
      </c>
      <c r="D344" s="4">
        <f>'Budget (annual operating plan)'!I84</f>
      </c>
      <c r="E344" s="4">
        <f>'Budget (annual operating plan)'!J84</f>
      </c>
      <c r="F344" s="4">
        <f>'Budget (annual operating plan)'!K84</f>
      </c>
      <c r="G344" s="4">
        <f>'Budget (annual operating plan)'!L84</f>
      </c>
      <c r="H344" s="4">
        <f>'Budget (annual operating plan)'!M84</f>
      </c>
    </row>
    <row r="345">
      <c r="A345" s="0"/>
      <c r="B345" s="0"/>
      <c r="C345" s="0" t="inlineStr">
        <is>
          <t xml:space="preserve">Cloud and infrastructure</t>
        </is>
      </c>
      <c r="D345" s="4">
        <f>'Budget (annual operating plan)'!I96</f>
      </c>
      <c r="E345" s="4">
        <f>'Budget (annual operating plan)'!J96</f>
      </c>
      <c r="F345" s="4">
        <f>'Budget (annual operating plan)'!K96</f>
      </c>
      <c r="G345" s="4">
        <f>'Budget (annual operating plan)'!L96</f>
      </c>
      <c r="H345" s="4">
        <f>'Budget (annual operating plan)'!M96</f>
      </c>
    </row>
    <row r="346">
      <c r="A346" s="0"/>
      <c r="B346" s="0"/>
      <c r="C346" s="0" t="inlineStr">
        <is>
          <t xml:space="preserve">Marketing programs</t>
        </is>
      </c>
      <c r="D346" s="4">
        <f>'Budget (annual operating plan)'!I108</f>
      </c>
      <c r="E346" s="4">
        <f>'Budget (annual operating plan)'!J108</f>
      </c>
      <c r="F346" s="4">
        <f>'Budget (annual operating plan)'!K108</f>
      </c>
      <c r="G346" s="4">
        <f>'Budget (annual operating plan)'!L108</f>
      </c>
      <c r="H346" s="4">
        <f>'Budget (annual operating plan)'!M108</f>
      </c>
    </row>
    <row r="347">
      <c r="A347" s="0"/>
      <c r="B347" s="0"/>
      <c r="C347" s="0" t="inlineStr">
        <is>
          <t xml:space="preserve">Software and tools</t>
        </is>
      </c>
      <c r="D347" s="4">
        <f>'Budget (annual operating plan)'!I120</f>
        <v>-3000</v>
      </c>
      <c r="E347" s="4">
        <f>'Budget (annual operating plan)'!J120</f>
        <v>-3000</v>
      </c>
      <c r="F347" s="4">
        <f>'Budget (annual operating plan)'!K120</f>
        <v>-3000</v>
      </c>
      <c r="G347" s="4">
        <f>'Budget (annual operating plan)'!L120</f>
        <v>-3000</v>
      </c>
      <c r="H347" s="4">
        <f>'Budget (annual operating plan)'!M120</f>
        <v>-3000</v>
      </c>
    </row>
    <row r="348">
      <c r="A348" s="0"/>
      <c r="B348" s="0"/>
      <c r="C348" s="0" t="inlineStr">
        <is>
          <t xml:space="preserve">Travel and events</t>
        </is>
      </c>
      <c r="D348" s="4">
        <f>'Budget (annual operating plan)'!I132</f>
        <v>-1700</v>
      </c>
      <c r="E348" s="4">
        <f>'Budget (annual operating plan)'!J132</f>
        <v>-1700</v>
      </c>
      <c r="F348" s="4">
        <f>'Budget (annual operating plan)'!K132</f>
        <v>-1700</v>
      </c>
      <c r="G348" s="4">
        <f>'Budget (annual operating plan)'!L132</f>
        <v>-1700</v>
      </c>
      <c r="H348" s="4">
        <f>'Budget (annual operating plan)'!M132</f>
        <v>-1700</v>
      </c>
    </row>
    <row r="349">
      <c r="A349" s="0"/>
      <c r="B349" s="0"/>
      <c r="C349" s="0" t="inlineStr">
        <is>
          <t xml:space="preserve">Rent and facilities</t>
        </is>
      </c>
      <c r="D349" s="4">
        <f>'Budget (annual operating plan)'!I144</f>
      </c>
      <c r="E349" s="4">
        <f>'Budget (annual operating plan)'!J144</f>
      </c>
      <c r="F349" s="4">
        <f>'Budget (annual operating plan)'!K144</f>
      </c>
      <c r="G349" s="4">
        <f>'Budget (annual operating plan)'!L144</f>
      </c>
      <c r="H349" s="4">
        <f>'Budget (annual operating plan)'!M144</f>
      </c>
    </row>
    <row r="350">
      <c r="A350" s="0"/>
      <c r="B350" s="0"/>
      <c r="C350" s="0" t="inlineStr">
        <is>
          <t xml:space="preserve">Professional fees</t>
        </is>
      </c>
      <c r="D350" s="4">
        <f>'Budget (annual operating plan)'!I156</f>
      </c>
      <c r="E350" s="4">
        <f>'Budget (annual operating plan)'!J156</f>
      </c>
      <c r="F350" s="4">
        <f>'Budget (annual operating plan)'!K156</f>
      </c>
      <c r="G350" s="4">
        <f>'Budget (annual operating plan)'!L156</f>
      </c>
      <c r="H350" s="4">
        <f>'Budget (annual operating plan)'!M156</f>
      </c>
    </row>
    <row r="351">
      <c r="A351" s="0"/>
      <c r="B351" s="0"/>
      <c r="C351" s="0" t="inlineStr">
        <is>
          <t xml:space="preserve">Net</t>
        </is>
      </c>
      <c r="D351" s="4">
        <f>'Budget (annual operating plan)'!I168</f>
        <v>-61300</v>
      </c>
      <c r="E351" s="4">
        <f>'Budget (annual operating plan)'!J168</f>
        <v>-61300</v>
      </c>
      <c r="F351" s="4">
        <f>'Budget (annual operating plan)'!K168</f>
        <v>-61300</v>
      </c>
      <c r="G351" s="4">
        <f>'Budget (annual operating plan)'!L168</f>
        <v>-61300</v>
      </c>
      <c r="H351" s="4">
        <f>'Budget (annual operating plan)'!M168</f>
        <v>-61300</v>
      </c>
    </row>
    <row r="352">
      <c r="A352" s="0"/>
      <c r="B352" s="0" t="inlineStr">
        <is>
          <t xml:space="preserve">G&amp;A</t>
        </is>
      </c>
      <c r="C352" s="0" t="inlineStr">
        <is>
          <t xml:space="preserve">Revenue</t>
        </is>
      </c>
      <c r="D352" s="4">
        <f>'Budget (annual operating plan)'!I13</f>
      </c>
      <c r="E352" s="4">
        <f>'Budget (annual operating plan)'!J13</f>
      </c>
      <c r="F352" s="4">
        <f>'Budget (annual operating plan)'!K13</f>
      </c>
      <c r="G352" s="4">
        <f>'Budget (annual operating plan)'!L13</f>
      </c>
      <c r="H352" s="4">
        <f>'Budget (annual operating plan)'!M13</f>
      </c>
    </row>
    <row r="353">
      <c r="A353" s="0"/>
      <c r="B353" s="0"/>
      <c r="C353" s="0" t="inlineStr">
        <is>
          <t xml:space="preserve">Cost of revenue: hosting</t>
        </is>
      </c>
      <c r="D353" s="4">
        <f>'Budget (annual operating plan)'!I25</f>
      </c>
      <c r="E353" s="4">
        <f>'Budget (annual operating plan)'!J25</f>
      </c>
      <c r="F353" s="4">
        <f>'Budget (annual operating plan)'!K25</f>
      </c>
      <c r="G353" s="4">
        <f>'Budget (annual operating plan)'!L25</f>
      </c>
      <c r="H353" s="4">
        <f>'Budget (annual operating plan)'!M25</f>
      </c>
    </row>
    <row r="354">
      <c r="A354" s="0"/>
      <c r="B354" s="0"/>
      <c r="C354" s="0" t="inlineStr">
        <is>
          <t xml:space="preserve">Cost of revenue: support</t>
        </is>
      </c>
      <c r="D354" s="4">
        <f>'Budget (annual operating plan)'!I37</f>
      </c>
      <c r="E354" s="4">
        <f>'Budget (annual operating plan)'!J37</f>
      </c>
      <c r="F354" s="4">
        <f>'Budget (annual operating plan)'!K37</f>
      </c>
      <c r="G354" s="4">
        <f>'Budget (annual operating plan)'!L37</f>
      </c>
      <c r="H354" s="4">
        <f>'Budget (annual operating plan)'!M37</f>
      </c>
    </row>
    <row r="355">
      <c r="A355" s="0"/>
      <c r="B355" s="0"/>
      <c r="C355" s="0" t="inlineStr">
        <is>
          <t xml:space="preserve">Salaries</t>
        </is>
      </c>
      <c r="D355" s="4">
        <f>'Budget (annual operating plan)'!I49</f>
        <v>-42500</v>
      </c>
      <c r="E355" s="4">
        <f>'Budget (annual operating plan)'!J49</f>
        <v>-42500</v>
      </c>
      <c r="F355" s="4">
        <f>'Budget (annual operating plan)'!K49</f>
        <v>-42500</v>
      </c>
      <c r="G355" s="4">
        <f>'Budget (annual operating plan)'!L49</f>
        <v>-53100</v>
      </c>
      <c r="H355" s="4">
        <f>'Budget (annual operating plan)'!M49</f>
        <v>-53100</v>
      </c>
    </row>
    <row r="356">
      <c r="A356" s="0"/>
      <c r="B356" s="0"/>
      <c r="C356" s="0" t="inlineStr">
        <is>
          <t xml:space="preserve">Benefits and payroll taxes</t>
        </is>
      </c>
      <c r="D356" s="4">
        <f>'Budget (annual operating plan)'!I61</f>
        <v>-8900</v>
      </c>
      <c r="E356" s="4">
        <f>'Budget (annual operating plan)'!J61</f>
        <v>-8900</v>
      </c>
      <c r="F356" s="4">
        <f>'Budget (annual operating plan)'!K61</f>
        <v>-8900</v>
      </c>
      <c r="G356" s="4">
        <f>'Budget (annual operating plan)'!L61</f>
        <v>-11200</v>
      </c>
      <c r="H356" s="4">
        <f>'Budget (annual operating plan)'!M61</f>
        <v>-11200</v>
      </c>
    </row>
    <row r="357">
      <c r="A357" s="0"/>
      <c r="B357" s="0"/>
      <c r="C357" s="0" t="inlineStr">
        <is>
          <t xml:space="preserve">Commissions</t>
        </is>
      </c>
      <c r="D357" s="4">
        <f>'Budget (annual operating plan)'!I73</f>
      </c>
      <c r="E357" s="4">
        <f>'Budget (annual operating plan)'!J73</f>
      </c>
      <c r="F357" s="4">
        <f>'Budget (annual operating plan)'!K73</f>
      </c>
      <c r="G357" s="4">
        <f>'Budget (annual operating plan)'!L73</f>
      </c>
      <c r="H357" s="4">
        <f>'Budget (annual operating plan)'!M73</f>
      </c>
    </row>
    <row r="358">
      <c r="A358" s="0"/>
      <c r="B358" s="0"/>
      <c r="C358" s="0" t="inlineStr">
        <is>
          <t xml:space="preserve">Contractors</t>
        </is>
      </c>
      <c r="D358" s="4">
        <f>'Budget (annual operating plan)'!I85</f>
      </c>
      <c r="E358" s="4">
        <f>'Budget (annual operating plan)'!J85</f>
      </c>
      <c r="F358" s="4">
        <f>'Budget (annual operating plan)'!K85</f>
      </c>
      <c r="G358" s="4">
        <f>'Budget (annual operating plan)'!L85</f>
      </c>
      <c r="H358" s="4">
        <f>'Budget (annual operating plan)'!M85</f>
      </c>
    </row>
    <row r="359">
      <c r="A359" s="0"/>
      <c r="B359" s="0"/>
      <c r="C359" s="0" t="inlineStr">
        <is>
          <t xml:space="preserve">Cloud and infrastructure</t>
        </is>
      </c>
      <c r="D359" s="4">
        <f>'Budget (annual operating plan)'!I97</f>
      </c>
      <c r="E359" s="4">
        <f>'Budget (annual operating plan)'!J97</f>
      </c>
      <c r="F359" s="4">
        <f>'Budget (annual operating plan)'!K97</f>
      </c>
      <c r="G359" s="4">
        <f>'Budget (annual operating plan)'!L97</f>
      </c>
      <c r="H359" s="4">
        <f>'Budget (annual operating plan)'!M97</f>
      </c>
    </row>
    <row r="360">
      <c r="A360" s="0"/>
      <c r="B360" s="0"/>
      <c r="C360" s="0" t="inlineStr">
        <is>
          <t xml:space="preserve">Marketing programs</t>
        </is>
      </c>
      <c r="D360" s="4">
        <f>'Budget (annual operating plan)'!I109</f>
      </c>
      <c r="E360" s="4">
        <f>'Budget (annual operating plan)'!J109</f>
      </c>
      <c r="F360" s="4">
        <f>'Budget (annual operating plan)'!K109</f>
      </c>
      <c r="G360" s="4">
        <f>'Budget (annual operating plan)'!L109</f>
      </c>
      <c r="H360" s="4">
        <f>'Budget (annual operating plan)'!M109</f>
      </c>
    </row>
    <row r="361">
      <c r="A361" s="0"/>
      <c r="B361" s="0"/>
      <c r="C361" s="0" t="inlineStr">
        <is>
          <t xml:space="preserve">Software and tools</t>
        </is>
      </c>
      <c r="D361" s="4">
        <f>'Budget (annual operating plan)'!I121</f>
        <v>-4700</v>
      </c>
      <c r="E361" s="4">
        <f>'Budget (annual operating plan)'!J121</f>
        <v>-4700</v>
      </c>
      <c r="F361" s="4">
        <f>'Budget (annual operating plan)'!K121</f>
        <v>-4800</v>
      </c>
      <c r="G361" s="4">
        <f>'Budget (annual operating plan)'!L121</f>
        <v>-4800</v>
      </c>
      <c r="H361" s="4">
        <f>'Budget (annual operating plan)'!M121</f>
        <v>-4800</v>
      </c>
    </row>
    <row r="362">
      <c r="A362" s="0"/>
      <c r="B362" s="0"/>
      <c r="C362" s="0" t="inlineStr">
        <is>
          <t xml:space="preserve">Travel and events</t>
        </is>
      </c>
      <c r="D362" s="4">
        <f>'Budget (annual operating plan)'!I133</f>
        <v>-2600</v>
      </c>
      <c r="E362" s="4">
        <f>'Budget (annual operating plan)'!J133</f>
        <v>-2600</v>
      </c>
      <c r="F362" s="4">
        <f>'Budget (annual operating plan)'!K133</f>
        <v>-2600</v>
      </c>
      <c r="G362" s="4">
        <f>'Budget (annual operating plan)'!L133</f>
        <v>-2600</v>
      </c>
      <c r="H362" s="4">
        <f>'Budget (annual operating plan)'!M133</f>
        <v>-2600</v>
      </c>
    </row>
    <row r="363">
      <c r="A363" s="0"/>
      <c r="B363" s="0"/>
      <c r="C363" s="0" t="inlineStr">
        <is>
          <t xml:space="preserve">Rent and facilities</t>
        </is>
      </c>
      <c r="D363" s="4">
        <f>'Budget (annual operating plan)'!I145</f>
        <v>-37700</v>
      </c>
      <c r="E363" s="4">
        <f>'Budget (annual operating plan)'!J145</f>
        <v>-37900</v>
      </c>
      <c r="F363" s="4">
        <f>'Budget (annual operating plan)'!K145</f>
        <v>-38000</v>
      </c>
      <c r="G363" s="4">
        <f>'Budget (annual operating plan)'!L145</f>
        <v>-38200</v>
      </c>
      <c r="H363" s="4">
        <f>'Budget (annual operating plan)'!M145</f>
        <v>-38300</v>
      </c>
    </row>
    <row r="364">
      <c r="A364" s="0"/>
      <c r="B364" s="0"/>
      <c r="C364" s="0" t="inlineStr">
        <is>
          <t xml:space="preserve">Professional fees</t>
        </is>
      </c>
      <c r="D364" s="4">
        <f>'Budget (annual operating plan)'!I157</f>
        <v>-14600</v>
      </c>
      <c r="E364" s="4">
        <f>'Budget (annual operating plan)'!J157</f>
        <v>-14600</v>
      </c>
      <c r="F364" s="4">
        <f>'Budget (annual operating plan)'!K157</f>
        <v>-14700</v>
      </c>
      <c r="G364" s="4">
        <f>'Budget (annual operating plan)'!L157</f>
        <v>-14700</v>
      </c>
      <c r="H364" s="4">
        <f>'Budget (annual operating plan)'!M157</f>
        <v>-14800</v>
      </c>
    </row>
    <row r="365">
      <c r="A365" s="0"/>
      <c r="B365" s="0"/>
      <c r="C365" s="0" t="inlineStr">
        <is>
          <t xml:space="preserve">Net</t>
        </is>
      </c>
      <c r="D365" s="4">
        <f>'Budget (annual operating plan)'!I169</f>
        <v>-111000</v>
      </c>
      <c r="E365" s="4">
        <f>'Budget (annual operating plan)'!J169</f>
        <v>-111200</v>
      </c>
      <c r="F365" s="4">
        <f>'Budget (annual operating plan)'!K169</f>
        <v>-111500</v>
      </c>
      <c r="G365" s="4">
        <f>'Budget (annual operating plan)'!L169</f>
        <v>-124600</v>
      </c>
      <c r="H365" s="4">
        <f>'Budget (annual operating plan)'!M169</f>
        <v>-124800</v>
      </c>
    </row>
    <row r="367">
      <c r="A367" s="3" t="inlineStr">
        <is>
          <t xml:space="preserve">Every cell on this sheet refers to the statement sheets; edit inputs there (blue) and this dashboard follows.</t>
        </is>
      </c>
    </row>
  </sheetData>
</worksheet>
</file>

<file path=xl/worksheets/sheet4.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3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s>
  <sheetData>
    <row r="1">
      <c r="A1" s="1" t="inlineStr">
        <is>
          <t xml:space="preserve">line</t>
        </is>
      </c>
      <c r="B1" s="1" t="inlineStr">
        <is>
          <t xml:space="preserve">Jan-26</t>
        </is>
      </c>
      <c r="C1" s="1" t="inlineStr">
        <is>
          <t xml:space="preserve">Feb-26</t>
        </is>
      </c>
      <c r="D1" s="1" t="inlineStr">
        <is>
          <t xml:space="preserve">Mar-26</t>
        </is>
      </c>
      <c r="E1" s="1" t="inlineStr">
        <is>
          <t xml:space="preserve">Apr-26</t>
        </is>
      </c>
      <c r="F1" s="1" t="inlineStr">
        <is>
          <t xml:space="preserve">May-26</t>
        </is>
      </c>
      <c r="G1" s="1" t="inlineStr">
        <is>
          <t xml:space="preserve">Jun-26</t>
        </is>
      </c>
      <c r="H1" s="1" t="inlineStr">
        <is>
          <t xml:space="preserve">Jul-26</t>
        </is>
      </c>
      <c r="I1" s="1" t="inlineStr">
        <is>
          <t xml:space="preserve">Aug-26</t>
        </is>
      </c>
      <c r="J1" s="1" t="inlineStr">
        <is>
          <t xml:space="preserve">Sep-26</t>
        </is>
      </c>
      <c r="K1" s="1" t="inlineStr">
        <is>
          <t xml:space="preserve">Oct-26</t>
        </is>
      </c>
      <c r="L1" s="1" t="inlineStr">
        <is>
          <t xml:space="preserve">Nov-26</t>
        </is>
      </c>
      <c r="M1" s="1" t="inlineStr">
        <is>
          <t xml:space="preserve">Dec-26</t>
        </is>
      </c>
    </row>
    <row r="2">
      <c r="A2" s="0" t="inlineStr">
        <is>
          <t xml:space="preserve">Revenue growth per month</t>
        </is>
      </c>
      <c r="J2" s="14">
        <v>0.019</v>
      </c>
      <c r="K2" s="14">
        <v>0.019</v>
      </c>
      <c r="L2" s="14">
        <v>0.019</v>
      </c>
      <c r="M2" s="14">
        <v>0.019</v>
      </c>
    </row>
    <row r="3">
      <c r="A3" s="0" t="inlineStr">
        <is>
          <t xml:space="preserve">Hosting cost, % of revenue</t>
        </is>
      </c>
      <c r="J3" s="14">
        <v>0.118</v>
      </c>
      <c r="K3" s="14">
        <v>0.118</v>
      </c>
      <c r="L3" s="14">
        <v>0.118</v>
      </c>
      <c r="M3" s="14">
        <v>0.118</v>
      </c>
    </row>
    <row r="4">
      <c r="A4" s="0" t="inlineStr">
        <is>
          <t xml:space="preserve">Support cost, % of revenue</t>
        </is>
      </c>
      <c r="J4" s="14">
        <v>0.051</v>
      </c>
      <c r="K4" s="14">
        <v>0.051</v>
      </c>
      <c r="L4" s="14">
        <v>0.051</v>
      </c>
      <c r="M4" s="14">
        <v>0.051</v>
      </c>
    </row>
    <row r="5">
      <c r="A5" s="0" t="inlineStr">
        <is>
          <t xml:space="preserve">Benefits, % of salaries</t>
        </is>
      </c>
      <c r="J5" s="14">
        <v>0.214</v>
      </c>
      <c r="K5" s="14">
        <v>0.214</v>
      </c>
      <c r="L5" s="14">
        <v>0.214</v>
      </c>
      <c r="M5" s="14">
        <v>0.214</v>
      </c>
    </row>
    <row r="6">
      <c r="A6" s="0" t="inlineStr">
        <is>
          <t xml:space="preserve">Commissions, % of revenue</t>
        </is>
      </c>
      <c r="J6" s="14">
        <v>0.047</v>
      </c>
      <c r="K6" s="14">
        <v>0.047</v>
      </c>
      <c r="L6" s="14">
        <v>0.047</v>
      </c>
      <c r="M6" s="14">
        <v>0.047</v>
      </c>
    </row>
    <row r="7">
      <c r="A7" s="0" t="inlineStr">
        <is>
          <t xml:space="preserve">Marketing programs, % of revenue</t>
        </is>
      </c>
      <c r="J7" s="14">
        <v>0.083</v>
      </c>
      <c r="K7" s="14">
        <v>0.083</v>
      </c>
      <c r="L7" s="14">
        <v>0.083</v>
      </c>
      <c r="M7" s="14">
        <v>0.083</v>
      </c>
    </row>
    <row r="8">
      <c r="A8" s="0" t="inlineStr">
        <is>
          <t xml:space="preserve">Cloud, % of revenue</t>
        </is>
      </c>
      <c r="J8" s="14">
        <v>0.089</v>
      </c>
      <c r="K8" s="14">
        <v>0.089</v>
      </c>
      <c r="L8" s="14">
        <v>0.089</v>
      </c>
      <c r="M8" s="14">
        <v>0.089</v>
      </c>
    </row>
    <row r="9">
      <c r="A9" s="0" t="inlineStr">
        <is>
          <t xml:space="preserve">Other opex growth per month</t>
        </is>
      </c>
      <c r="J9" s="14">
        <v>0.006</v>
      </c>
      <c r="K9" s="14">
        <v>0.006</v>
      </c>
      <c r="L9" s="14">
        <v>0.006</v>
      </c>
      <c r="M9" s="14">
        <v>0.006</v>
      </c>
    </row>
  </sheetData>
</worksheet>
</file>

<file path=xl/worksheets/sheet5.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s>
  <sheetData>
    <row r="1">
      <c r="A1" s="1" t="inlineStr">
        <is>
          <t xml:space="preserve">line</t>
        </is>
      </c>
      <c r="B1" s="1" t="inlineStr">
        <is>
          <t xml:space="preserve">subsidiary</t>
        </is>
      </c>
      <c r="C1" s="1" t="inlineStr">
        <is>
          <t xml:space="preserve">department</t>
        </is>
      </c>
      <c r="D1" s="1" t="inlineStr">
        <is>
          <t xml:space="preserve">Jan-26</t>
        </is>
      </c>
      <c r="E1" s="1" t="inlineStr">
        <is>
          <t xml:space="preserve">Feb-26</t>
        </is>
      </c>
      <c r="F1" s="1" t="inlineStr">
        <is>
          <t xml:space="preserve">Mar-26</t>
        </is>
      </c>
      <c r="G1" s="1" t="inlineStr">
        <is>
          <t xml:space="preserve">Apr-26</t>
        </is>
      </c>
      <c r="H1" s="1" t="inlineStr">
        <is>
          <t xml:space="preserve">May-26</t>
        </is>
      </c>
      <c r="I1" s="1" t="inlineStr">
        <is>
          <t xml:space="preserve">Jun-26</t>
        </is>
      </c>
      <c r="J1" s="1" t="inlineStr">
        <is>
          <t xml:space="preserve">Jul-26</t>
        </is>
      </c>
      <c r="K1" s="1" t="inlineStr">
        <is>
          <t xml:space="preserve">Aug-26</t>
        </is>
      </c>
      <c r="L1" s="1" t="inlineStr">
        <is>
          <t xml:space="preserve">Sep-26</t>
        </is>
      </c>
      <c r="M1" s="1" t="inlineStr">
        <is>
          <t xml:space="preserve">Oct-26</t>
        </is>
      </c>
      <c r="N1" s="1" t="inlineStr">
        <is>
          <t xml:space="preserve">Nov-26</t>
        </is>
      </c>
      <c r="O1" s="1" t="inlineStr">
        <is>
          <t xml:space="preserve">Dec-26</t>
        </is>
      </c>
    </row>
    <row r="2">
      <c r="A2" s="0" t="inlineStr">
        <is>
          <t xml:space="preserve">Heads (period end)</t>
        </is>
      </c>
      <c r="B2" s="0" t="inlineStr">
        <is>
          <t xml:space="preserve">United States</t>
        </is>
      </c>
      <c r="C2" s="0" t="inlineStr">
        <is>
          <t xml:space="preserve">Company (revenue and cost of revenue)</t>
        </is>
      </c>
    </row>
    <row r="3">
      <c r="A3" s="0" t="inlineStr">
        <is>
          <t xml:space="preserve">Heads (period end)</t>
        </is>
      </c>
      <c r="B3" s="0" t="inlineStr">
        <is>
          <t xml:space="preserve">United States</t>
        </is>
      </c>
      <c r="C3" s="0" t="inlineStr">
        <is>
          <t xml:space="preserve">Sales</t>
        </is>
      </c>
      <c r="D3" s="6">
        <v>22</v>
      </c>
      <c r="E3" s="6">
        <v>23</v>
      </c>
      <c r="F3" s="6">
        <v>23</v>
      </c>
      <c r="G3" s="6">
        <v>24</v>
      </c>
      <c r="H3" s="6">
        <v>24</v>
      </c>
      <c r="I3" s="6">
        <v>25</v>
      </c>
      <c r="J3" s="6">
        <v>25</v>
      </c>
      <c r="K3" s="6">
        <v>26</v>
      </c>
      <c r="L3" s="6">
        <v>29</v>
      </c>
      <c r="M3" s="6">
        <v>30</v>
      </c>
      <c r="N3" s="6">
        <v>30</v>
      </c>
      <c r="O3" s="6">
        <v>31</v>
      </c>
    </row>
    <row r="4">
      <c r="A4" s="0" t="inlineStr">
        <is>
          <t xml:space="preserve">Heads (period end)</t>
        </is>
      </c>
      <c r="B4" s="0" t="inlineStr">
        <is>
          <t xml:space="preserve">United States</t>
        </is>
      </c>
      <c r="C4" s="0" t="inlineStr">
        <is>
          <t xml:space="preserve">Marketing</t>
        </is>
      </c>
      <c r="D4" s="6">
        <v>9</v>
      </c>
      <c r="E4" s="6">
        <v>9</v>
      </c>
      <c r="F4" s="6">
        <v>10</v>
      </c>
      <c r="G4" s="6">
        <v>10</v>
      </c>
      <c r="H4" s="6">
        <v>10</v>
      </c>
      <c r="I4" s="6">
        <v>10</v>
      </c>
      <c r="J4" s="6">
        <v>11</v>
      </c>
      <c r="K4" s="6">
        <v>11</v>
      </c>
      <c r="L4" s="6">
        <v>11</v>
      </c>
      <c r="M4" s="6">
        <v>12</v>
      </c>
      <c r="N4" s="6">
        <v>12</v>
      </c>
      <c r="O4" s="6">
        <v>12</v>
      </c>
    </row>
    <row r="5">
      <c r="A5" s="0" t="inlineStr">
        <is>
          <t xml:space="preserve">Heads (period end)</t>
        </is>
      </c>
      <c r="B5" s="0" t="inlineStr">
        <is>
          <t xml:space="preserve">United States</t>
        </is>
      </c>
      <c r="C5" s="0" t="inlineStr">
        <is>
          <t xml:space="preserve">Engineering</t>
        </is>
      </c>
      <c r="D5" s="6">
        <v>39</v>
      </c>
      <c r="E5" s="6">
        <v>40</v>
      </c>
      <c r="F5" s="6">
        <v>42</v>
      </c>
      <c r="G5" s="6">
        <v>43</v>
      </c>
      <c r="H5" s="6">
        <v>44</v>
      </c>
      <c r="I5" s="6">
        <v>46</v>
      </c>
      <c r="J5" s="6">
        <v>47</v>
      </c>
      <c r="K5" s="6">
        <v>48</v>
      </c>
      <c r="L5" s="6">
        <v>52</v>
      </c>
      <c r="M5" s="6">
        <v>53</v>
      </c>
      <c r="N5" s="6">
        <v>54</v>
      </c>
      <c r="O5" s="6">
        <v>55</v>
      </c>
    </row>
    <row r="6">
      <c r="A6" s="0" t="inlineStr">
        <is>
          <t xml:space="preserve">Heads (period end)</t>
        </is>
      </c>
      <c r="B6" s="0" t="inlineStr">
        <is>
          <t xml:space="preserve">United States</t>
        </is>
      </c>
      <c r="C6" s="0" t="inlineStr">
        <is>
          <t xml:space="preserve">Customer success</t>
        </is>
      </c>
      <c r="D6" s="6">
        <v>12</v>
      </c>
      <c r="E6" s="6">
        <v>13</v>
      </c>
      <c r="F6" s="6">
        <v>13</v>
      </c>
      <c r="G6" s="6">
        <v>13</v>
      </c>
      <c r="H6" s="6">
        <v>14</v>
      </c>
      <c r="I6" s="6">
        <v>14</v>
      </c>
      <c r="J6" s="6">
        <v>14</v>
      </c>
      <c r="K6" s="6">
        <v>15</v>
      </c>
      <c r="L6" s="6">
        <v>15</v>
      </c>
      <c r="M6" s="6">
        <v>16</v>
      </c>
      <c r="N6" s="6">
        <v>16</v>
      </c>
      <c r="O6" s="6">
        <v>16</v>
      </c>
    </row>
    <row r="7">
      <c r="A7" s="0" t="inlineStr">
        <is>
          <t xml:space="preserve">Heads (period end)</t>
        </is>
      </c>
      <c r="B7" s="0" t="inlineStr">
        <is>
          <t xml:space="preserve">United States</t>
        </is>
      </c>
      <c r="C7" s="0" t="inlineStr">
        <is>
          <t xml:space="preserve">G&amp;A</t>
        </is>
      </c>
      <c r="D7" s="6">
        <v>10</v>
      </c>
      <c r="E7" s="6">
        <v>10</v>
      </c>
      <c r="F7" s="6">
        <v>10</v>
      </c>
      <c r="G7" s="6">
        <v>11</v>
      </c>
      <c r="H7" s="6">
        <v>11</v>
      </c>
      <c r="I7" s="6">
        <v>11</v>
      </c>
      <c r="J7" s="6">
        <v>11</v>
      </c>
      <c r="K7" s="6">
        <v>11</v>
      </c>
      <c r="L7" s="6">
        <v>12</v>
      </c>
      <c r="M7" s="6">
        <v>12</v>
      </c>
      <c r="N7" s="6">
        <v>12</v>
      </c>
      <c r="O7" s="6">
        <v>12</v>
      </c>
    </row>
    <row r="8">
      <c r="A8" s="0" t="inlineStr">
        <is>
          <t xml:space="preserve">Heads (period end)</t>
        </is>
      </c>
      <c r="B8" s="0" t="inlineStr">
        <is>
          <t xml:space="preserve">United Kingdom</t>
        </is>
      </c>
      <c r="C8" s="0" t="inlineStr">
        <is>
          <t xml:space="preserve">Company (revenue and cost of revenue)</t>
        </is>
      </c>
    </row>
    <row r="9">
      <c r="A9" s="0" t="inlineStr">
        <is>
          <t xml:space="preserve">Heads (period end)</t>
        </is>
      </c>
      <c r="B9" s="0" t="inlineStr">
        <is>
          <t xml:space="preserve">United Kingdom</t>
        </is>
      </c>
      <c r="C9" s="0" t="inlineStr">
        <is>
          <t xml:space="preserve">Sales</t>
        </is>
      </c>
      <c r="D9" s="6">
        <v>9</v>
      </c>
      <c r="E9" s="6">
        <v>9</v>
      </c>
      <c r="F9" s="6">
        <v>9</v>
      </c>
      <c r="G9" s="6">
        <v>9</v>
      </c>
      <c r="H9" s="6">
        <v>9</v>
      </c>
      <c r="I9" s="6">
        <v>9</v>
      </c>
      <c r="J9" s="6">
        <v>9</v>
      </c>
      <c r="K9" s="6">
        <v>9</v>
      </c>
      <c r="L9" s="6">
        <v>12</v>
      </c>
      <c r="M9" s="6">
        <v>12</v>
      </c>
      <c r="N9" s="6">
        <v>12</v>
      </c>
      <c r="O9" s="6">
        <v>12</v>
      </c>
    </row>
    <row r="10">
      <c r="A10" s="0" t="inlineStr">
        <is>
          <t xml:space="preserve">Heads (period end)</t>
        </is>
      </c>
      <c r="B10" s="0" t="inlineStr">
        <is>
          <t xml:space="preserve">United Kingdom</t>
        </is>
      </c>
      <c r="C10" s="0" t="inlineStr">
        <is>
          <t xml:space="preserve">Marketing</t>
        </is>
      </c>
      <c r="D10" s="6">
        <v>4</v>
      </c>
      <c r="E10" s="6">
        <v>4</v>
      </c>
      <c r="F10" s="6">
        <v>5</v>
      </c>
      <c r="G10" s="6">
        <v>5</v>
      </c>
      <c r="H10" s="6">
        <v>5</v>
      </c>
      <c r="I10" s="6">
        <v>5</v>
      </c>
      <c r="J10" s="6">
        <v>6</v>
      </c>
      <c r="K10" s="6">
        <v>6</v>
      </c>
      <c r="L10" s="6">
        <v>6</v>
      </c>
      <c r="M10" s="6">
        <v>6</v>
      </c>
      <c r="N10" s="6">
        <v>6</v>
      </c>
      <c r="O10" s="6">
        <v>6</v>
      </c>
    </row>
    <row r="11">
      <c r="A11" s="0" t="inlineStr">
        <is>
          <t xml:space="preserve">Heads (period end)</t>
        </is>
      </c>
      <c r="B11" s="0" t="inlineStr">
        <is>
          <t xml:space="preserve">United Kingdom</t>
        </is>
      </c>
      <c r="C11" s="0" t="inlineStr">
        <is>
          <t xml:space="preserve">Engineering</t>
        </is>
      </c>
      <c r="D11" s="6">
        <v>17</v>
      </c>
      <c r="E11" s="6">
        <v>17</v>
      </c>
      <c r="F11" s="6">
        <v>19</v>
      </c>
      <c r="G11" s="6">
        <v>19</v>
      </c>
      <c r="H11" s="6">
        <v>20</v>
      </c>
      <c r="I11" s="6">
        <v>20</v>
      </c>
      <c r="J11" s="6">
        <v>21</v>
      </c>
      <c r="K11" s="6">
        <v>21</v>
      </c>
      <c r="L11" s="6">
        <v>25</v>
      </c>
      <c r="M11" s="6">
        <v>25</v>
      </c>
      <c r="N11" s="6">
        <v>26</v>
      </c>
      <c r="O11" s="6">
        <v>26</v>
      </c>
    </row>
    <row r="12">
      <c r="A12" s="0" t="inlineStr">
        <is>
          <t xml:space="preserve">Heads (period end)</t>
        </is>
      </c>
      <c r="B12" s="0" t="inlineStr">
        <is>
          <t xml:space="preserve">United Kingdom</t>
        </is>
      </c>
      <c r="C12" s="0" t="inlineStr">
        <is>
          <t xml:space="preserve">Customer success</t>
        </is>
      </c>
      <c r="D12" s="6">
        <v>5</v>
      </c>
      <c r="E12" s="6">
        <v>5</v>
      </c>
      <c r="F12" s="6">
        <v>5</v>
      </c>
      <c r="G12" s="6">
        <v>5</v>
      </c>
      <c r="H12" s="6">
        <v>6</v>
      </c>
      <c r="I12" s="6">
        <v>6</v>
      </c>
      <c r="J12" s="6">
        <v>6</v>
      </c>
      <c r="K12" s="6">
        <v>6</v>
      </c>
      <c r="L12" s="6">
        <v>6</v>
      </c>
      <c r="M12" s="6">
        <v>6</v>
      </c>
      <c r="N12" s="6">
        <v>6</v>
      </c>
      <c r="O12" s="6">
        <v>6</v>
      </c>
    </row>
    <row r="13">
      <c r="A13" s="0" t="inlineStr">
        <is>
          <t xml:space="preserve">Heads (period end)</t>
        </is>
      </c>
      <c r="B13" s="0" t="inlineStr">
        <is>
          <t xml:space="preserve">United Kingdom</t>
        </is>
      </c>
      <c r="C13" s="0" t="inlineStr">
        <is>
          <t xml:space="preserve">G&amp;A</t>
        </is>
      </c>
      <c r="D13" s="6">
        <v>4</v>
      </c>
      <c r="E13" s="6">
        <v>4</v>
      </c>
      <c r="F13" s="6">
        <v>4</v>
      </c>
      <c r="G13" s="6">
        <v>4</v>
      </c>
      <c r="H13" s="6">
        <v>4</v>
      </c>
      <c r="I13" s="6">
        <v>4</v>
      </c>
      <c r="J13" s="6">
        <v>4</v>
      </c>
      <c r="K13" s="6">
        <v>4</v>
      </c>
      <c r="L13" s="6">
        <v>5</v>
      </c>
      <c r="M13" s="6">
        <v>5</v>
      </c>
      <c r="N13" s="6">
        <v>5</v>
      </c>
      <c r="O13" s="6">
        <v>5</v>
      </c>
    </row>
    <row r="14">
      <c r="A14" s="0" t="inlineStr">
        <is>
          <t xml:space="preserve">Loaded cost per head, annual</t>
        </is>
      </c>
      <c r="B14" s="0" t="inlineStr">
        <is>
          <t xml:space="preserve">United States</t>
        </is>
      </c>
      <c r="C14" s="0" t="inlineStr">
        <is>
          <t xml:space="preserve">Company (revenue and cost of revenue)</t>
        </is>
      </c>
    </row>
    <row r="15">
      <c r="A15" s="0" t="inlineStr">
        <is>
          <t xml:space="preserve">Loaded cost per head, annual</t>
        </is>
      </c>
      <c r="B15" s="0" t="inlineStr">
        <is>
          <t xml:space="preserve">United States</t>
        </is>
      </c>
      <c r="C15" s="0" t="inlineStr">
        <is>
          <t xml:space="preserve">Sales</t>
        </is>
      </c>
      <c r="D15" s="6">
        <v>165000</v>
      </c>
      <c r="E15" s="6">
        <v>165000</v>
      </c>
      <c r="F15" s="6">
        <v>165000</v>
      </c>
      <c r="G15" s="6">
        <v>165000</v>
      </c>
      <c r="H15" s="6">
        <v>165000</v>
      </c>
      <c r="I15" s="6">
        <v>165000</v>
      </c>
      <c r="J15" s="6">
        <v>165000</v>
      </c>
      <c r="K15" s="6">
        <v>165000</v>
      </c>
      <c r="L15" s="6">
        <v>165000</v>
      </c>
      <c r="M15" s="6">
        <v>165000</v>
      </c>
      <c r="N15" s="6">
        <v>165000</v>
      </c>
      <c r="O15" s="6">
        <v>165000</v>
      </c>
    </row>
    <row r="16">
      <c r="A16" s="0" t="inlineStr">
        <is>
          <t xml:space="preserve">Loaded cost per head, annual</t>
        </is>
      </c>
      <c r="B16" s="0" t="inlineStr">
        <is>
          <t xml:space="preserve">United States</t>
        </is>
      </c>
      <c r="C16" s="0" t="inlineStr">
        <is>
          <t xml:space="preserve">Marketing</t>
        </is>
      </c>
      <c r="D16" s="6">
        <v>140000</v>
      </c>
      <c r="E16" s="6">
        <v>140000</v>
      </c>
      <c r="F16" s="6">
        <v>140000</v>
      </c>
      <c r="G16" s="6">
        <v>140000</v>
      </c>
      <c r="H16" s="6">
        <v>140000</v>
      </c>
      <c r="I16" s="6">
        <v>140000</v>
      </c>
      <c r="J16" s="6">
        <v>140000</v>
      </c>
      <c r="K16" s="6">
        <v>140000</v>
      </c>
      <c r="L16" s="6">
        <v>140000</v>
      </c>
      <c r="M16" s="6">
        <v>140000</v>
      </c>
      <c r="N16" s="6">
        <v>140000</v>
      </c>
      <c r="O16" s="6">
        <v>140000</v>
      </c>
    </row>
    <row r="17">
      <c r="A17" s="0" t="inlineStr">
        <is>
          <t xml:space="preserve">Loaded cost per head, annual</t>
        </is>
      </c>
      <c r="B17" s="0" t="inlineStr">
        <is>
          <t xml:space="preserve">United States</t>
        </is>
      </c>
      <c r="C17" s="0" t="inlineStr">
        <is>
          <t xml:space="preserve">Engineering</t>
        </is>
      </c>
      <c r="D17" s="6">
        <v>190000</v>
      </c>
      <c r="E17" s="6">
        <v>190000</v>
      </c>
      <c r="F17" s="6">
        <v>190000</v>
      </c>
      <c r="G17" s="6">
        <v>190000</v>
      </c>
      <c r="H17" s="6">
        <v>190000</v>
      </c>
      <c r="I17" s="6">
        <v>190000</v>
      </c>
      <c r="J17" s="6">
        <v>190000</v>
      </c>
      <c r="K17" s="6">
        <v>190000</v>
      </c>
      <c r="L17" s="6">
        <v>190000</v>
      </c>
      <c r="M17" s="6">
        <v>190000</v>
      </c>
      <c r="N17" s="6">
        <v>190000</v>
      </c>
      <c r="O17" s="6">
        <v>190000</v>
      </c>
    </row>
    <row r="18">
      <c r="A18" s="0" t="inlineStr">
        <is>
          <t xml:space="preserve">Loaded cost per head, annual</t>
        </is>
      </c>
      <c r="B18" s="0" t="inlineStr">
        <is>
          <t xml:space="preserve">United States</t>
        </is>
      </c>
      <c r="C18" s="0" t="inlineStr">
        <is>
          <t xml:space="preserve">Customer success</t>
        </is>
      </c>
      <c r="D18" s="6">
        <v>110000</v>
      </c>
      <c r="E18" s="6">
        <v>110000</v>
      </c>
      <c r="F18" s="6">
        <v>110000</v>
      </c>
      <c r="G18" s="6">
        <v>110000</v>
      </c>
      <c r="H18" s="6">
        <v>110000</v>
      </c>
      <c r="I18" s="6">
        <v>110000</v>
      </c>
      <c r="J18" s="6">
        <v>110000</v>
      </c>
      <c r="K18" s="6">
        <v>110000</v>
      </c>
      <c r="L18" s="6">
        <v>110000</v>
      </c>
      <c r="M18" s="6">
        <v>110000</v>
      </c>
      <c r="N18" s="6">
        <v>110000</v>
      </c>
      <c r="O18" s="6">
        <v>110000</v>
      </c>
    </row>
    <row r="19">
      <c r="A19" s="0" t="inlineStr">
        <is>
          <t xml:space="preserve">Loaded cost per head, annual</t>
        </is>
      </c>
      <c r="B19" s="0" t="inlineStr">
        <is>
          <t xml:space="preserve">United States</t>
        </is>
      </c>
      <c r="C19" s="0" t="inlineStr">
        <is>
          <t xml:space="preserve">G&amp;A</t>
        </is>
      </c>
      <c r="D19" s="6">
        <v>150000</v>
      </c>
      <c r="E19" s="6">
        <v>150000</v>
      </c>
      <c r="F19" s="6">
        <v>150000</v>
      </c>
      <c r="G19" s="6">
        <v>150000</v>
      </c>
      <c r="H19" s="6">
        <v>150000</v>
      </c>
      <c r="I19" s="6">
        <v>150000</v>
      </c>
      <c r="J19" s="6">
        <v>150000</v>
      </c>
      <c r="K19" s="6">
        <v>150000</v>
      </c>
      <c r="L19" s="6">
        <v>150000</v>
      </c>
      <c r="M19" s="6">
        <v>150000</v>
      </c>
      <c r="N19" s="6">
        <v>150000</v>
      </c>
      <c r="O19" s="6">
        <v>150000</v>
      </c>
    </row>
    <row r="20">
      <c r="A20" s="0" t="inlineStr">
        <is>
          <t xml:space="preserve">Loaded cost per head, annual</t>
        </is>
      </c>
      <c r="B20" s="0" t="inlineStr">
        <is>
          <t xml:space="preserve">United Kingdom</t>
        </is>
      </c>
      <c r="C20" s="0" t="inlineStr">
        <is>
          <t xml:space="preserve">Company (revenue and cost of revenue)</t>
        </is>
      </c>
    </row>
    <row r="21">
      <c r="A21" s="0" t="inlineStr">
        <is>
          <t xml:space="preserve">Loaded cost per head, annual</t>
        </is>
      </c>
      <c r="B21" s="0" t="inlineStr">
        <is>
          <t xml:space="preserve">United Kingdom</t>
        </is>
      </c>
      <c r="C21" s="0" t="inlineStr">
        <is>
          <t xml:space="preserve">Sales</t>
        </is>
      </c>
      <c r="D21" s="6">
        <v>140000</v>
      </c>
      <c r="E21" s="6">
        <v>140000</v>
      </c>
      <c r="F21" s="6">
        <v>140000</v>
      </c>
      <c r="G21" s="6">
        <v>140000</v>
      </c>
      <c r="H21" s="6">
        <v>140000</v>
      </c>
      <c r="I21" s="6">
        <v>140000</v>
      </c>
      <c r="J21" s="6">
        <v>140000</v>
      </c>
      <c r="K21" s="6">
        <v>140000</v>
      </c>
      <c r="L21" s="6">
        <v>140000</v>
      </c>
      <c r="M21" s="6">
        <v>140000</v>
      </c>
      <c r="N21" s="6">
        <v>140000</v>
      </c>
      <c r="O21" s="6">
        <v>140000</v>
      </c>
    </row>
    <row r="22">
      <c r="A22" s="0" t="inlineStr">
        <is>
          <t xml:space="preserve">Loaded cost per head, annual</t>
        </is>
      </c>
      <c r="B22" s="0" t="inlineStr">
        <is>
          <t xml:space="preserve">United Kingdom</t>
        </is>
      </c>
      <c r="C22" s="0" t="inlineStr">
        <is>
          <t xml:space="preserve">Marketing</t>
        </is>
      </c>
      <c r="D22" s="6">
        <v>119000</v>
      </c>
      <c r="E22" s="6">
        <v>119000</v>
      </c>
      <c r="F22" s="6">
        <v>119000</v>
      </c>
      <c r="G22" s="6">
        <v>119000</v>
      </c>
      <c r="H22" s="6">
        <v>119000</v>
      </c>
      <c r="I22" s="6">
        <v>119000</v>
      </c>
      <c r="J22" s="6">
        <v>119000</v>
      </c>
      <c r="K22" s="6">
        <v>119000</v>
      </c>
      <c r="L22" s="6">
        <v>119000</v>
      </c>
      <c r="M22" s="6">
        <v>119000</v>
      </c>
      <c r="N22" s="6">
        <v>119000</v>
      </c>
      <c r="O22" s="6">
        <v>119000</v>
      </c>
    </row>
    <row r="23">
      <c r="A23" s="0" t="inlineStr">
        <is>
          <t xml:space="preserve">Loaded cost per head, annual</t>
        </is>
      </c>
      <c r="B23" s="0" t="inlineStr">
        <is>
          <t xml:space="preserve">United Kingdom</t>
        </is>
      </c>
      <c r="C23" s="0" t="inlineStr">
        <is>
          <t xml:space="preserve">Engineering</t>
        </is>
      </c>
      <c r="D23" s="6">
        <v>162000</v>
      </c>
      <c r="E23" s="6">
        <v>162000</v>
      </c>
      <c r="F23" s="6">
        <v>162000</v>
      </c>
      <c r="G23" s="6">
        <v>162000</v>
      </c>
      <c r="H23" s="6">
        <v>162000</v>
      </c>
      <c r="I23" s="6">
        <v>162000</v>
      </c>
      <c r="J23" s="6">
        <v>162000</v>
      </c>
      <c r="K23" s="6">
        <v>162000</v>
      </c>
      <c r="L23" s="6">
        <v>162000</v>
      </c>
      <c r="M23" s="6">
        <v>162000</v>
      </c>
      <c r="N23" s="6">
        <v>162000</v>
      </c>
      <c r="O23" s="6">
        <v>162000</v>
      </c>
    </row>
    <row r="24">
      <c r="A24" s="0" t="inlineStr">
        <is>
          <t xml:space="preserve">Loaded cost per head, annual</t>
        </is>
      </c>
      <c r="B24" s="0" t="inlineStr">
        <is>
          <t xml:space="preserve">United Kingdom</t>
        </is>
      </c>
      <c r="C24" s="0" t="inlineStr">
        <is>
          <t xml:space="preserve">Customer success</t>
        </is>
      </c>
      <c r="D24" s="6">
        <v>94000</v>
      </c>
      <c r="E24" s="6">
        <v>94000</v>
      </c>
      <c r="F24" s="6">
        <v>94000</v>
      </c>
      <c r="G24" s="6">
        <v>94000</v>
      </c>
      <c r="H24" s="6">
        <v>94000</v>
      </c>
      <c r="I24" s="6">
        <v>94000</v>
      </c>
      <c r="J24" s="6">
        <v>94000</v>
      </c>
      <c r="K24" s="6">
        <v>94000</v>
      </c>
      <c r="L24" s="6">
        <v>94000</v>
      </c>
      <c r="M24" s="6">
        <v>94000</v>
      </c>
      <c r="N24" s="6">
        <v>94000</v>
      </c>
      <c r="O24" s="6">
        <v>94000</v>
      </c>
    </row>
    <row r="25">
      <c r="A25" s="0" t="inlineStr">
        <is>
          <t xml:space="preserve">Loaded cost per head, annual</t>
        </is>
      </c>
      <c r="B25" s="0" t="inlineStr">
        <is>
          <t xml:space="preserve">United Kingdom</t>
        </is>
      </c>
      <c r="C25" s="0" t="inlineStr">
        <is>
          <t xml:space="preserve">G&amp;A</t>
        </is>
      </c>
      <c r="D25" s="6">
        <v>128000</v>
      </c>
      <c r="E25" s="6">
        <v>128000</v>
      </c>
      <c r="F25" s="6">
        <v>128000</v>
      </c>
      <c r="G25" s="6">
        <v>128000</v>
      </c>
      <c r="H25" s="6">
        <v>128000</v>
      </c>
      <c r="I25" s="6">
        <v>128000</v>
      </c>
      <c r="J25" s="6">
        <v>128000</v>
      </c>
      <c r="K25" s="6">
        <v>128000</v>
      </c>
      <c r="L25" s="6">
        <v>128000</v>
      </c>
      <c r="M25" s="6">
        <v>128000</v>
      </c>
      <c r="N25" s="6">
        <v>128000</v>
      </c>
      <c r="O25" s="6">
        <v>128000</v>
      </c>
    </row>
    <row r="26">
      <c r="A26" s="0" t="inlineStr">
        <is>
          <t xml:space="preserve">Salary cost (month)</t>
        </is>
      </c>
      <c r="B26" s="0" t="inlineStr">
        <is>
          <t xml:space="preserve">United States</t>
        </is>
      </c>
      <c r="C26" s="0" t="inlineStr">
        <is>
          <t xml:space="preserve">Company (revenue and cost of revenue)</t>
        </is>
      </c>
      <c r="D26" s="4">
        <f>((-(D2)*D14)/12)</f>
        <v>0</v>
      </c>
      <c r="E26" s="4">
        <f>((-(E2)*E14)/12)</f>
        <v>0</v>
      </c>
      <c r="F26" s="4">
        <f>((-(F2)*F14)/12)</f>
        <v>0</v>
      </c>
      <c r="G26" s="4">
        <f>((-(G2)*G14)/12)</f>
        <v>0</v>
      </c>
      <c r="H26" s="4">
        <f>((-(H2)*H14)/12)</f>
        <v>0</v>
      </c>
      <c r="I26" s="4">
        <f>((-(I2)*I14)/12)</f>
        <v>0</v>
      </c>
      <c r="J26" s="4">
        <f>((-(J2)*J14)/12)</f>
        <v>0</v>
      </c>
      <c r="K26" s="4">
        <f>((-(K2)*K14)/12)</f>
        <v>0</v>
      </c>
      <c r="L26" s="4">
        <f>((-(L2)*L14)/12)</f>
        <v>0</v>
      </c>
      <c r="M26" s="4">
        <f>((-(M2)*M14)/12)</f>
        <v>0</v>
      </c>
      <c r="N26" s="4">
        <f>((-(N2)*N14)/12)</f>
        <v>0</v>
      </c>
      <c r="O26" s="4">
        <f>((-(O2)*O14)/12)</f>
        <v>0</v>
      </c>
    </row>
    <row r="27">
      <c r="A27" s="0" t="inlineStr">
        <is>
          <t xml:space="preserve">Salary cost (month)</t>
        </is>
      </c>
      <c r="B27" s="0" t="inlineStr">
        <is>
          <t xml:space="preserve">United States</t>
        </is>
      </c>
      <c r="C27" s="0" t="inlineStr">
        <is>
          <t xml:space="preserve">Sales</t>
        </is>
      </c>
      <c r="D27" s="4">
        <f>((-(D3)*D15)/12)</f>
        <v>-302500</v>
      </c>
      <c r="E27" s="4">
        <f>((-(E3)*E15)/12)</f>
        <v>-316250</v>
      </c>
      <c r="F27" s="4">
        <f>((-(F3)*F15)/12)</f>
        <v>-316250</v>
      </c>
      <c r="G27" s="4">
        <f>((-(G3)*G15)/12)</f>
        <v>-330000</v>
      </c>
      <c r="H27" s="4">
        <f>((-(H3)*H15)/12)</f>
        <v>-330000</v>
      </c>
      <c r="I27" s="4">
        <f>((-(I3)*I15)/12)</f>
        <v>-343750</v>
      </c>
      <c r="J27" s="4">
        <f>((-(J3)*J15)/12)</f>
        <v>-343750</v>
      </c>
      <c r="K27" s="4">
        <f>((-(K3)*K15)/12)</f>
        <v>-357500</v>
      </c>
      <c r="L27" s="4">
        <f>((-(L3)*L15)/12)</f>
        <v>-398750</v>
      </c>
      <c r="M27" s="4">
        <f>((-(M3)*M15)/12)</f>
        <v>-412500</v>
      </c>
      <c r="N27" s="4">
        <f>((-(N3)*N15)/12)</f>
        <v>-412500</v>
      </c>
      <c r="O27" s="4">
        <f>((-(O3)*O15)/12)</f>
        <v>-426250</v>
      </c>
    </row>
    <row r="28">
      <c r="A28" s="0" t="inlineStr">
        <is>
          <t xml:space="preserve">Salary cost (month)</t>
        </is>
      </c>
      <c r="B28" s="0" t="inlineStr">
        <is>
          <t xml:space="preserve">United States</t>
        </is>
      </c>
      <c r="C28" s="0" t="inlineStr">
        <is>
          <t xml:space="preserve">Marketing</t>
        </is>
      </c>
      <c r="D28" s="8">
        <f>((-(D4)*D16)/12)</f>
        <v>-105000</v>
      </c>
      <c r="E28" s="8">
        <f>((-(E4)*E16)/12)</f>
        <v>-105000</v>
      </c>
      <c r="F28" s="8">
        <f>((-(F4)*F16)/12)</f>
        <v>-116666.66666666667</v>
      </c>
      <c r="G28" s="8">
        <f>((-(G4)*G16)/12)</f>
        <v>-116666.66666666667</v>
      </c>
      <c r="H28" s="8">
        <f>((-(H4)*H16)/12)</f>
        <v>-116666.66666666667</v>
      </c>
      <c r="I28" s="8">
        <f>((-(I4)*I16)/12)</f>
        <v>-116666.66666666667</v>
      </c>
      <c r="J28" s="8">
        <f>((-(J4)*J16)/12)</f>
        <v>-128333.33333333333</v>
      </c>
      <c r="K28" s="8">
        <f>((-(K4)*K16)/12)</f>
        <v>-128333.33333333333</v>
      </c>
      <c r="L28" s="8">
        <f>((-(L4)*L16)/12)</f>
        <v>-128333.33333333333</v>
      </c>
      <c r="M28" s="8">
        <f>((-(M4)*M16)/12)</f>
        <v>-140000</v>
      </c>
      <c r="N28" s="8">
        <f>((-(N4)*N16)/12)</f>
        <v>-140000</v>
      </c>
      <c r="O28" s="8">
        <f>((-(O4)*O16)/12)</f>
        <v>-140000</v>
      </c>
    </row>
    <row r="29">
      <c r="A29" s="0" t="inlineStr">
        <is>
          <t xml:space="preserve">Salary cost (month)</t>
        </is>
      </c>
      <c r="B29" s="0" t="inlineStr">
        <is>
          <t xml:space="preserve">United States</t>
        </is>
      </c>
      <c r="C29" s="0" t="inlineStr">
        <is>
          <t xml:space="preserve">Engineering</t>
        </is>
      </c>
      <c r="D29" s="8">
        <f>((-(D5)*D17)/12)</f>
        <v>-617500</v>
      </c>
      <c r="E29" s="8">
        <f>((-(E5)*E17)/12)</f>
        <v>-633333.3333333334</v>
      </c>
      <c r="F29" s="8">
        <f>((-(F5)*F17)/12)</f>
        <v>-665000</v>
      </c>
      <c r="G29" s="8">
        <f>((-(G5)*G17)/12)</f>
        <v>-680833.3333333334</v>
      </c>
      <c r="H29" s="8">
        <f>((-(H5)*H17)/12)</f>
        <v>-696666.6666666666</v>
      </c>
      <c r="I29" s="8">
        <f>((-(I5)*I17)/12)</f>
        <v>-728333.3333333334</v>
      </c>
      <c r="J29" s="8">
        <f>((-(J5)*J17)/12)</f>
        <v>-744166.6666666666</v>
      </c>
      <c r="K29" s="8">
        <f>((-(K5)*K17)/12)</f>
        <v>-760000</v>
      </c>
      <c r="L29" s="8">
        <f>((-(L5)*L17)/12)</f>
        <v>-823333.3333333334</v>
      </c>
      <c r="M29" s="8">
        <f>((-(M5)*M17)/12)</f>
        <v>-839166.6666666666</v>
      </c>
      <c r="N29" s="8">
        <f>((-(N5)*N17)/12)</f>
        <v>-855000</v>
      </c>
      <c r="O29" s="8">
        <f>((-(O5)*O17)/12)</f>
        <v>-870833.3333333334</v>
      </c>
    </row>
    <row r="30">
      <c r="A30" s="0" t="inlineStr">
        <is>
          <t xml:space="preserve">Salary cost (month)</t>
        </is>
      </c>
      <c r="B30" s="0" t="inlineStr">
        <is>
          <t xml:space="preserve">United States</t>
        </is>
      </c>
      <c r="C30" s="0" t="inlineStr">
        <is>
          <t xml:space="preserve">Customer success</t>
        </is>
      </c>
      <c r="D30" s="8">
        <f>((-(D6)*D18)/12)</f>
        <v>-110000</v>
      </c>
      <c r="E30" s="8">
        <f>((-(E6)*E18)/12)</f>
        <v>-119166.66666666667</v>
      </c>
      <c r="F30" s="8">
        <f>((-(F6)*F18)/12)</f>
        <v>-119166.66666666667</v>
      </c>
      <c r="G30" s="8">
        <f>((-(G6)*G18)/12)</f>
        <v>-119166.66666666667</v>
      </c>
      <c r="H30" s="8">
        <f>((-(H6)*H18)/12)</f>
        <v>-128333.33333333333</v>
      </c>
      <c r="I30" s="8">
        <f>((-(I6)*I18)/12)</f>
        <v>-128333.33333333333</v>
      </c>
      <c r="J30" s="8">
        <f>((-(J6)*J18)/12)</f>
        <v>-128333.33333333333</v>
      </c>
      <c r="K30" s="8">
        <f>((-(K6)*K18)/12)</f>
        <v>-137500</v>
      </c>
      <c r="L30" s="8">
        <f>((-(L6)*L18)/12)</f>
        <v>-137500</v>
      </c>
      <c r="M30" s="8">
        <f>((-(M6)*M18)/12)</f>
        <v>-146666.66666666666</v>
      </c>
      <c r="N30" s="8">
        <f>((-(N6)*N18)/12)</f>
        <v>-146666.66666666666</v>
      </c>
      <c r="O30" s="8">
        <f>((-(O6)*O18)/12)</f>
        <v>-146666.66666666666</v>
      </c>
    </row>
    <row r="31">
      <c r="A31" s="0" t="inlineStr">
        <is>
          <t xml:space="preserve">Salary cost (month)</t>
        </is>
      </c>
      <c r="B31" s="0" t="inlineStr">
        <is>
          <t xml:space="preserve">United States</t>
        </is>
      </c>
      <c r="C31" s="0" t="inlineStr">
        <is>
          <t xml:space="preserve">G&amp;A</t>
        </is>
      </c>
      <c r="D31" s="4">
        <f>((-(D7)*D19)/12)</f>
        <v>-125000</v>
      </c>
      <c r="E31" s="4">
        <f>((-(E7)*E19)/12)</f>
        <v>-125000</v>
      </c>
      <c r="F31" s="4">
        <f>((-(F7)*F19)/12)</f>
        <v>-125000</v>
      </c>
      <c r="G31" s="4">
        <f>((-(G7)*G19)/12)</f>
        <v>-137500</v>
      </c>
      <c r="H31" s="4">
        <f>((-(H7)*H19)/12)</f>
        <v>-137500</v>
      </c>
      <c r="I31" s="4">
        <f>((-(I7)*I19)/12)</f>
        <v>-137500</v>
      </c>
      <c r="J31" s="4">
        <f>((-(J7)*J19)/12)</f>
        <v>-137500</v>
      </c>
      <c r="K31" s="4">
        <f>((-(K7)*K19)/12)</f>
        <v>-137500</v>
      </c>
      <c r="L31" s="4">
        <f>((-(L7)*L19)/12)</f>
        <v>-150000</v>
      </c>
      <c r="M31" s="4">
        <f>((-(M7)*M19)/12)</f>
        <v>-150000</v>
      </c>
      <c r="N31" s="4">
        <f>((-(N7)*N19)/12)</f>
        <v>-150000</v>
      </c>
      <c r="O31" s="4">
        <f>((-(O7)*O19)/12)</f>
        <v>-150000</v>
      </c>
    </row>
    <row r="32">
      <c r="A32" s="0" t="inlineStr">
        <is>
          <t xml:space="preserve">Salary cost (month)</t>
        </is>
      </c>
      <c r="B32" s="0" t="inlineStr">
        <is>
          <t xml:space="preserve">United Kingdom</t>
        </is>
      </c>
      <c r="C32" s="0" t="inlineStr">
        <is>
          <t xml:space="preserve">Company (revenue and cost of revenue)</t>
        </is>
      </c>
      <c r="D32" s="4">
        <f>((-(D8)*D20)/12)</f>
        <v>0</v>
      </c>
      <c r="E32" s="4">
        <f>((-(E8)*E20)/12)</f>
        <v>0</v>
      </c>
      <c r="F32" s="4">
        <f>((-(F8)*F20)/12)</f>
        <v>0</v>
      </c>
      <c r="G32" s="4">
        <f>((-(G8)*G20)/12)</f>
        <v>0</v>
      </c>
      <c r="H32" s="4">
        <f>((-(H8)*H20)/12)</f>
        <v>0</v>
      </c>
      <c r="I32" s="4">
        <f>((-(I8)*I20)/12)</f>
        <v>0</v>
      </c>
      <c r="J32" s="4">
        <f>((-(J8)*J20)/12)</f>
        <v>0</v>
      </c>
      <c r="K32" s="4">
        <f>((-(K8)*K20)/12)</f>
        <v>0</v>
      </c>
      <c r="L32" s="4">
        <f>((-(L8)*L20)/12)</f>
        <v>0</v>
      </c>
      <c r="M32" s="4">
        <f>((-(M8)*M20)/12)</f>
        <v>0</v>
      </c>
      <c r="N32" s="4">
        <f>((-(N8)*N20)/12)</f>
        <v>0</v>
      </c>
      <c r="O32" s="4">
        <f>((-(O8)*O20)/12)</f>
        <v>0</v>
      </c>
    </row>
    <row r="33">
      <c r="A33" s="0" t="inlineStr">
        <is>
          <t xml:space="preserve">Salary cost (month)</t>
        </is>
      </c>
      <c r="B33" s="0" t="inlineStr">
        <is>
          <t xml:space="preserve">United Kingdom</t>
        </is>
      </c>
      <c r="C33" s="0" t="inlineStr">
        <is>
          <t xml:space="preserve">Sales</t>
        </is>
      </c>
      <c r="D33" s="4">
        <f>((-(D9)*D21)/12)</f>
        <v>-105000</v>
      </c>
      <c r="E33" s="4">
        <f>((-(E9)*E21)/12)</f>
        <v>-105000</v>
      </c>
      <c r="F33" s="4">
        <f>((-(F9)*F21)/12)</f>
        <v>-105000</v>
      </c>
      <c r="G33" s="4">
        <f>((-(G9)*G21)/12)</f>
        <v>-105000</v>
      </c>
      <c r="H33" s="4">
        <f>((-(H9)*H21)/12)</f>
        <v>-105000</v>
      </c>
      <c r="I33" s="4">
        <f>((-(I9)*I21)/12)</f>
        <v>-105000</v>
      </c>
      <c r="J33" s="4">
        <f>((-(J9)*J21)/12)</f>
        <v>-105000</v>
      </c>
      <c r="K33" s="4">
        <f>((-(K9)*K21)/12)</f>
        <v>-105000</v>
      </c>
      <c r="L33" s="4">
        <f>((-(L9)*L21)/12)</f>
        <v>-140000</v>
      </c>
      <c r="M33" s="4">
        <f>((-(M9)*M21)/12)</f>
        <v>-140000</v>
      </c>
      <c r="N33" s="4">
        <f>((-(N9)*N21)/12)</f>
        <v>-140000</v>
      </c>
      <c r="O33" s="4">
        <f>((-(O9)*O21)/12)</f>
        <v>-140000</v>
      </c>
    </row>
    <row r="34">
      <c r="A34" s="0" t="inlineStr">
        <is>
          <t xml:space="preserve">Salary cost (month)</t>
        </is>
      </c>
      <c r="B34" s="0" t="inlineStr">
        <is>
          <t xml:space="preserve">United Kingdom</t>
        </is>
      </c>
      <c r="C34" s="0" t="inlineStr">
        <is>
          <t xml:space="preserve">Marketing</t>
        </is>
      </c>
      <c r="D34" s="8">
        <f>((-(D10)*D22)/12)</f>
        <v>-39666.666666666664</v>
      </c>
      <c r="E34" s="8">
        <f>((-(E10)*E22)/12)</f>
        <v>-39666.666666666664</v>
      </c>
      <c r="F34" s="8">
        <f>((-(F10)*F22)/12)</f>
        <v>-49583.333333333336</v>
      </c>
      <c r="G34" s="8">
        <f>((-(G10)*G22)/12)</f>
        <v>-49583.333333333336</v>
      </c>
      <c r="H34" s="8">
        <f>((-(H10)*H22)/12)</f>
        <v>-49583.333333333336</v>
      </c>
      <c r="I34" s="8">
        <f>((-(I10)*I22)/12)</f>
        <v>-49583.333333333336</v>
      </c>
      <c r="J34" s="8">
        <f>((-(J10)*J22)/12)</f>
        <v>-59500</v>
      </c>
      <c r="K34" s="8">
        <f>((-(K10)*K22)/12)</f>
        <v>-59500</v>
      </c>
      <c r="L34" s="8">
        <f>((-(L10)*L22)/12)</f>
        <v>-59500</v>
      </c>
      <c r="M34" s="8">
        <f>((-(M10)*M22)/12)</f>
        <v>-59500</v>
      </c>
      <c r="N34" s="8">
        <f>((-(N10)*N22)/12)</f>
        <v>-59500</v>
      </c>
      <c r="O34" s="8">
        <f>((-(O10)*O22)/12)</f>
        <v>-59500</v>
      </c>
    </row>
    <row r="35">
      <c r="A35" s="0" t="inlineStr">
        <is>
          <t xml:space="preserve">Salary cost (month)</t>
        </is>
      </c>
      <c r="B35" s="0" t="inlineStr">
        <is>
          <t xml:space="preserve">United Kingdom</t>
        </is>
      </c>
      <c r="C35" s="0" t="inlineStr">
        <is>
          <t xml:space="preserve">Engineering</t>
        </is>
      </c>
      <c r="D35" s="4">
        <f>((-(D11)*D23)/12)</f>
        <v>-229500</v>
      </c>
      <c r="E35" s="4">
        <f>((-(E11)*E23)/12)</f>
        <v>-229500</v>
      </c>
      <c r="F35" s="4">
        <f>((-(F11)*F23)/12)</f>
        <v>-256500</v>
      </c>
      <c r="G35" s="4">
        <f>((-(G11)*G23)/12)</f>
        <v>-256500</v>
      </c>
      <c r="H35" s="4">
        <f>((-(H11)*H23)/12)</f>
        <v>-270000</v>
      </c>
      <c r="I35" s="4">
        <f>((-(I11)*I23)/12)</f>
        <v>-270000</v>
      </c>
      <c r="J35" s="4">
        <f>((-(J11)*J23)/12)</f>
        <v>-283500</v>
      </c>
      <c r="K35" s="4">
        <f>((-(K11)*K23)/12)</f>
        <v>-283500</v>
      </c>
      <c r="L35" s="4">
        <f>((-(L11)*L23)/12)</f>
        <v>-337500</v>
      </c>
      <c r="M35" s="4">
        <f>((-(M11)*M23)/12)</f>
        <v>-337500</v>
      </c>
      <c r="N35" s="4">
        <f>((-(N11)*N23)/12)</f>
        <v>-351000</v>
      </c>
      <c r="O35" s="4">
        <f>((-(O11)*O23)/12)</f>
        <v>-351000</v>
      </c>
    </row>
    <row r="36">
      <c r="A36" s="0" t="inlineStr">
        <is>
          <t xml:space="preserve">Salary cost (month)</t>
        </is>
      </c>
      <c r="B36" s="0" t="inlineStr">
        <is>
          <t xml:space="preserve">United Kingdom</t>
        </is>
      </c>
      <c r="C36" s="0" t="inlineStr">
        <is>
          <t xml:space="preserve">Customer success</t>
        </is>
      </c>
      <c r="D36" s="8">
        <f>((-(D12)*D24)/12)</f>
        <v>-39166.666666666664</v>
      </c>
      <c r="E36" s="8">
        <f>((-(E12)*E24)/12)</f>
        <v>-39166.666666666664</v>
      </c>
      <c r="F36" s="8">
        <f>((-(F12)*F24)/12)</f>
        <v>-39166.666666666664</v>
      </c>
      <c r="G36" s="8">
        <f>((-(G12)*G24)/12)</f>
        <v>-39166.666666666664</v>
      </c>
      <c r="H36" s="8">
        <f>((-(H12)*H24)/12)</f>
        <v>-47000</v>
      </c>
      <c r="I36" s="8">
        <f>((-(I12)*I24)/12)</f>
        <v>-47000</v>
      </c>
      <c r="J36" s="8">
        <f>((-(J12)*J24)/12)</f>
        <v>-47000</v>
      </c>
      <c r="K36" s="8">
        <f>((-(K12)*K24)/12)</f>
        <v>-47000</v>
      </c>
      <c r="L36" s="8">
        <f>((-(L12)*L24)/12)</f>
        <v>-47000</v>
      </c>
      <c r="M36" s="8">
        <f>((-(M12)*M24)/12)</f>
        <v>-47000</v>
      </c>
      <c r="N36" s="8">
        <f>((-(N12)*N24)/12)</f>
        <v>-47000</v>
      </c>
      <c r="O36" s="8">
        <f>((-(O12)*O24)/12)</f>
        <v>-47000</v>
      </c>
    </row>
    <row r="37">
      <c r="A37" s="0" t="inlineStr">
        <is>
          <t xml:space="preserve">Salary cost (month)</t>
        </is>
      </c>
      <c r="B37" s="0" t="inlineStr">
        <is>
          <t xml:space="preserve">United Kingdom</t>
        </is>
      </c>
      <c r="C37" s="0" t="inlineStr">
        <is>
          <t xml:space="preserve">G&amp;A</t>
        </is>
      </c>
      <c r="D37" s="8">
        <f>((-(D13)*D25)/12)</f>
        <v>-42666.666666666664</v>
      </c>
      <c r="E37" s="8">
        <f>((-(E13)*E25)/12)</f>
        <v>-42666.666666666664</v>
      </c>
      <c r="F37" s="8">
        <f>((-(F13)*F25)/12)</f>
        <v>-42666.666666666664</v>
      </c>
      <c r="G37" s="8">
        <f>((-(G13)*G25)/12)</f>
        <v>-42666.666666666664</v>
      </c>
      <c r="H37" s="8">
        <f>((-(H13)*H25)/12)</f>
        <v>-42666.666666666664</v>
      </c>
      <c r="I37" s="8">
        <f>((-(I13)*I25)/12)</f>
        <v>-42666.666666666664</v>
      </c>
      <c r="J37" s="8">
        <f>((-(J13)*J25)/12)</f>
        <v>-42666.666666666664</v>
      </c>
      <c r="K37" s="8">
        <f>((-(K13)*K25)/12)</f>
        <v>-42666.666666666664</v>
      </c>
      <c r="L37" s="8">
        <f>((-(L13)*L25)/12)</f>
        <v>-53333.333333333336</v>
      </c>
      <c r="M37" s="8">
        <f>((-(M13)*M25)/12)</f>
        <v>-53333.333333333336</v>
      </c>
      <c r="N37" s="8">
        <f>((-(N13)*N25)/12)</f>
        <v>-53333.333333333336</v>
      </c>
      <c r="O37" s="8">
        <f>((-(O13)*O25)/12)</f>
        <v>-53333.333333333336</v>
      </c>
    </row>
  </sheetData>
</worksheet>
</file>

<file path=xl/worksheets/sheet6.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s>
  <sheetData>
    <row r="1">
      <c r="A1" s="1" t="inlineStr">
        <is>
          <t xml:space="preserve">line</t>
        </is>
      </c>
      <c r="B1" s="1" t="inlineStr">
        <is>
          <t xml:space="preserve">subsidiary</t>
        </is>
      </c>
      <c r="C1" s="1" t="inlineStr">
        <is>
          <t xml:space="preserve">department</t>
        </is>
      </c>
      <c r="D1" s="1" t="inlineStr">
        <is>
          <t xml:space="preserve">Jan-26</t>
        </is>
      </c>
      <c r="E1" s="1" t="inlineStr">
        <is>
          <t xml:space="preserve">Feb-26</t>
        </is>
      </c>
      <c r="F1" s="1" t="inlineStr">
        <is>
          <t xml:space="preserve">Mar-26</t>
        </is>
      </c>
      <c r="G1" s="1" t="inlineStr">
        <is>
          <t xml:space="preserve">Apr-26</t>
        </is>
      </c>
      <c r="H1" s="1" t="inlineStr">
        <is>
          <t xml:space="preserve">May-26</t>
        </is>
      </c>
      <c r="I1" s="1" t="inlineStr">
        <is>
          <t xml:space="preserve">Jun-26</t>
        </is>
      </c>
      <c r="J1" s="1" t="inlineStr">
        <is>
          <t xml:space="preserve">Jul-26</t>
        </is>
      </c>
      <c r="K1" s="1" t="inlineStr">
        <is>
          <t xml:space="preserve">Aug-26</t>
        </is>
      </c>
      <c r="L1" s="1" t="inlineStr">
        <is>
          <t xml:space="preserve">Sep-26</t>
        </is>
      </c>
      <c r="M1" s="1" t="inlineStr">
        <is>
          <t xml:space="preserve">Oct-26</t>
        </is>
      </c>
      <c r="N1" s="1" t="inlineStr">
        <is>
          <t xml:space="preserve">Nov-26</t>
        </is>
      </c>
      <c r="O1" s="1" t="inlineStr">
        <is>
          <t xml:space="preserve">Dec-26</t>
        </is>
      </c>
    </row>
    <row r="2">
      <c r="A2" s="0" t="inlineStr">
        <is>
          <t xml:space="preserve">Revenue</t>
        </is>
      </c>
      <c r="B2" s="0" t="inlineStr">
        <is>
          <t xml:space="preserve">United States</t>
        </is>
      </c>
      <c r="C2" s="0" t="inlineStr">
        <is>
          <t xml:space="preserve">Company (revenue and cost of revenue)</t>
        </is>
      </c>
      <c r="D2" s="8">
        <f>SUMIFS('ledger'!$F$2:$F$745,'ledger'!$C$2:$C$745,"=us",'ledger'!$D$2:$D$745,"=company",'ledger'!$E$2:$E$745,"=revenue",'ledger'!$G$2:$G$745,"jan26")</f>
        <v>4131437</v>
      </c>
      <c r="E2" s="8">
        <f>SUMIFS('ledger'!$F$2:$F$745,'ledger'!$C$2:$C$745,"=us",'ledger'!$D$2:$D$745,"=company",'ledger'!$E$2:$E$745,"=revenue",'ledger'!$G$2:$G$745,"feb26")</f>
        <v>4250476</v>
      </c>
      <c r="F2" s="8">
        <f>SUMIFS('ledger'!$F$2:$F$745,'ledger'!$C$2:$C$745,"=us",'ledger'!$D$2:$D$745,"=company",'ledger'!$E$2:$E$745,"=revenue",'ledger'!$G$2:$G$745,"mar26")</f>
        <v>4370513</v>
      </c>
      <c r="G2" s="8">
        <f>SUMIFS('ledger'!$F$2:$F$745,'ledger'!$C$2:$C$745,"=us",'ledger'!$D$2:$D$745,"=company",'ledger'!$E$2:$E$745,"=revenue",'ledger'!$G$2:$G$745,"apr26")</f>
        <v>4448928</v>
      </c>
      <c r="H2" s="8">
        <f>SUMIFS('ledger'!$F$2:$F$745,'ledger'!$C$2:$C$745,"=us",'ledger'!$D$2:$D$745,"=company",'ledger'!$E$2:$E$745,"=revenue",'ledger'!$G$2:$G$745,"may26")</f>
        <v>4429226</v>
      </c>
      <c r="I2" s="8">
        <f>SUMIFS('ledger'!$F$2:$F$745,'ledger'!$C$2:$C$745,"=us",'ledger'!$D$2:$D$745,"=company",'ledger'!$E$2:$E$745,"=revenue",'ledger'!$G$2:$G$745,"jun26")</f>
        <v>4725798</v>
      </c>
      <c r="J2" s="8">
        <f>SUMIFS('ledger'!$F$2:$F$745,'ledger'!$C$2:$C$745,"=us",'ledger'!$D$2:$D$745,"=company",'ledger'!$E$2:$E$745,"=revenue",'ledger'!$G$2:$G$745,"jul26")</f>
        <v>4406956</v>
      </c>
      <c r="K2" s="8">
        <f>SUMIFS('ledger'!$F$2:$F$745,'ledger'!$C$2:$C$745,"=us",'ledger'!$D$2:$D$745,"=company",'ledger'!$E$2:$E$745,"=revenue",'ledger'!$G$2:$G$745,"aug26")</f>
        <v>4544037</v>
      </c>
      <c r="L2" s="8">
        <f>(K2*(1+'Forecast drivers'!J2))</f>
        <v>4630373.703</v>
      </c>
      <c r="M2" s="8">
        <f>(L2*(1+'Forecast drivers'!K2))</f>
        <v>4718350.8033569995</v>
      </c>
      <c r="N2" s="8">
        <f>(M2*(1+'Forecast drivers'!L2))</f>
        <v>4807999.468620782</v>
      </c>
      <c r="O2" s="8">
        <f>(N2*(1+'Forecast drivers'!M2))</f>
        <v>4899351.458524576</v>
      </c>
    </row>
    <row r="3">
      <c r="A3" s="0" t="inlineStr">
        <is>
          <t xml:space="preserve">Revenue</t>
        </is>
      </c>
      <c r="B3" s="0" t="inlineStr">
        <is>
          <t xml:space="preserve">United States</t>
        </is>
      </c>
      <c r="C3" s="0" t="inlineStr">
        <is>
          <t xml:space="preserve">Sales</t>
        </is>
      </c>
      <c r="D3" s="4">
        <f>SUMIFS('ledger'!$F$2:$F$745,'ledger'!$C$2:$C$745,"=us",'ledger'!$D$2:$D$745,"=sales",'ledger'!$E$2:$E$745,"=revenue",'ledger'!$G$2:$G$745,"jan26")</f>
        <v>0</v>
      </c>
      <c r="E3" s="4">
        <f>SUMIFS('ledger'!$F$2:$F$745,'ledger'!$C$2:$C$745,"=us",'ledger'!$D$2:$D$745,"=sales",'ledger'!$E$2:$E$745,"=revenue",'ledger'!$G$2:$G$745,"feb26")</f>
        <v>0</v>
      </c>
      <c r="F3" s="4">
        <f>SUMIFS('ledger'!$F$2:$F$745,'ledger'!$C$2:$C$745,"=us",'ledger'!$D$2:$D$745,"=sales",'ledger'!$E$2:$E$745,"=revenue",'ledger'!$G$2:$G$745,"mar26")</f>
        <v>0</v>
      </c>
      <c r="G3" s="4">
        <f>SUMIFS('ledger'!$F$2:$F$745,'ledger'!$C$2:$C$745,"=us",'ledger'!$D$2:$D$745,"=sales",'ledger'!$E$2:$E$745,"=revenue",'ledger'!$G$2:$G$745,"apr26")</f>
        <v>0</v>
      </c>
      <c r="H3" s="4">
        <f>SUMIFS('ledger'!$F$2:$F$745,'ledger'!$C$2:$C$745,"=us",'ledger'!$D$2:$D$745,"=sales",'ledger'!$E$2:$E$745,"=revenue",'ledger'!$G$2:$G$745,"may26")</f>
        <v>0</v>
      </c>
      <c r="I3" s="4">
        <f>SUMIFS('ledger'!$F$2:$F$745,'ledger'!$C$2:$C$745,"=us",'ledger'!$D$2:$D$745,"=sales",'ledger'!$E$2:$E$745,"=revenue",'ledger'!$G$2:$G$745,"jun26")</f>
        <v>0</v>
      </c>
      <c r="J3" s="4">
        <f>SUMIFS('ledger'!$F$2:$F$745,'ledger'!$C$2:$C$745,"=us",'ledger'!$D$2:$D$745,"=sales",'ledger'!$E$2:$E$745,"=revenue",'ledger'!$G$2:$G$745,"jul26")</f>
        <v>0</v>
      </c>
      <c r="K3" s="4">
        <f>SUMIFS('ledger'!$F$2:$F$745,'ledger'!$C$2:$C$745,"=us",'ledger'!$D$2:$D$745,"=sales",'ledger'!$E$2:$E$745,"=revenue",'ledger'!$G$2:$G$745,"aug26")</f>
        <v>0</v>
      </c>
      <c r="L3" s="4">
        <f>(K3*(1+'Forecast drivers'!J9))</f>
        <v>0</v>
      </c>
      <c r="M3" s="4">
        <f>(L3*(1+'Forecast drivers'!K9))</f>
        <v>0</v>
      </c>
      <c r="N3" s="4">
        <f>(M3*(1+'Forecast drivers'!L9))</f>
        <v>0</v>
      </c>
      <c r="O3" s="4">
        <f>(N3*(1+'Forecast drivers'!M9))</f>
        <v>0</v>
      </c>
    </row>
    <row r="4">
      <c r="A4" s="0" t="inlineStr">
        <is>
          <t xml:space="preserve">Revenue</t>
        </is>
      </c>
      <c r="B4" s="0" t="inlineStr">
        <is>
          <t xml:space="preserve">United States</t>
        </is>
      </c>
      <c r="C4" s="0" t="inlineStr">
        <is>
          <t xml:space="preserve">Marketing</t>
        </is>
      </c>
      <c r="D4" s="4">
        <f>SUMIFS('ledger'!$F$2:$F$745,'ledger'!$C$2:$C$745,"=us",'ledger'!$D$2:$D$745,"=marketing",'ledger'!$E$2:$E$745,"=revenue",'ledger'!$G$2:$G$745,"jan26")</f>
        <v>0</v>
      </c>
      <c r="E4" s="4">
        <f>SUMIFS('ledger'!$F$2:$F$745,'ledger'!$C$2:$C$745,"=us",'ledger'!$D$2:$D$745,"=marketing",'ledger'!$E$2:$E$745,"=revenue",'ledger'!$G$2:$G$745,"feb26")</f>
        <v>0</v>
      </c>
      <c r="F4" s="4">
        <f>SUMIFS('ledger'!$F$2:$F$745,'ledger'!$C$2:$C$745,"=us",'ledger'!$D$2:$D$745,"=marketing",'ledger'!$E$2:$E$745,"=revenue",'ledger'!$G$2:$G$745,"mar26")</f>
        <v>0</v>
      </c>
      <c r="G4" s="4">
        <f>SUMIFS('ledger'!$F$2:$F$745,'ledger'!$C$2:$C$745,"=us",'ledger'!$D$2:$D$745,"=marketing",'ledger'!$E$2:$E$745,"=revenue",'ledger'!$G$2:$G$745,"apr26")</f>
        <v>0</v>
      </c>
      <c r="H4" s="4">
        <f>SUMIFS('ledger'!$F$2:$F$745,'ledger'!$C$2:$C$745,"=us",'ledger'!$D$2:$D$745,"=marketing",'ledger'!$E$2:$E$745,"=revenue",'ledger'!$G$2:$G$745,"may26")</f>
        <v>0</v>
      </c>
      <c r="I4" s="4">
        <f>SUMIFS('ledger'!$F$2:$F$745,'ledger'!$C$2:$C$745,"=us",'ledger'!$D$2:$D$745,"=marketing",'ledger'!$E$2:$E$745,"=revenue",'ledger'!$G$2:$G$745,"jun26")</f>
        <v>0</v>
      </c>
      <c r="J4" s="4">
        <f>SUMIFS('ledger'!$F$2:$F$745,'ledger'!$C$2:$C$745,"=us",'ledger'!$D$2:$D$745,"=marketing",'ledger'!$E$2:$E$745,"=revenue",'ledger'!$G$2:$G$745,"jul26")</f>
        <v>0</v>
      </c>
      <c r="K4" s="4">
        <f>SUMIFS('ledger'!$F$2:$F$745,'ledger'!$C$2:$C$745,"=us",'ledger'!$D$2:$D$745,"=marketing",'ledger'!$E$2:$E$745,"=revenue",'ledger'!$G$2:$G$745,"aug26")</f>
        <v>0</v>
      </c>
      <c r="L4" s="4">
        <f>(K4*(1+'Forecast drivers'!J9))</f>
        <v>0</v>
      </c>
      <c r="M4" s="4">
        <f>(L4*(1+'Forecast drivers'!K9))</f>
        <v>0</v>
      </c>
      <c r="N4" s="4">
        <f>(M4*(1+'Forecast drivers'!L9))</f>
        <v>0</v>
      </c>
      <c r="O4" s="4">
        <f>(N4*(1+'Forecast drivers'!M9))</f>
        <v>0</v>
      </c>
    </row>
    <row r="5">
      <c r="A5" s="0" t="inlineStr">
        <is>
          <t xml:space="preserve">Revenue</t>
        </is>
      </c>
      <c r="B5" s="0" t="inlineStr">
        <is>
          <t xml:space="preserve">United States</t>
        </is>
      </c>
      <c r="C5" s="0" t="inlineStr">
        <is>
          <t xml:space="preserve">Engineering</t>
        </is>
      </c>
      <c r="D5" s="4">
        <f>SUMIFS('ledger'!$F$2:$F$745,'ledger'!$C$2:$C$745,"=us",'ledger'!$D$2:$D$745,"=engineering",'ledger'!$E$2:$E$745,"=revenue",'ledger'!$G$2:$G$745,"jan26")</f>
        <v>0</v>
      </c>
      <c r="E5" s="4">
        <f>SUMIFS('ledger'!$F$2:$F$745,'ledger'!$C$2:$C$745,"=us",'ledger'!$D$2:$D$745,"=engineering",'ledger'!$E$2:$E$745,"=revenue",'ledger'!$G$2:$G$745,"feb26")</f>
        <v>0</v>
      </c>
      <c r="F5" s="4">
        <f>SUMIFS('ledger'!$F$2:$F$745,'ledger'!$C$2:$C$745,"=us",'ledger'!$D$2:$D$745,"=engineering",'ledger'!$E$2:$E$745,"=revenue",'ledger'!$G$2:$G$745,"mar26")</f>
        <v>0</v>
      </c>
      <c r="G5" s="4">
        <f>SUMIFS('ledger'!$F$2:$F$745,'ledger'!$C$2:$C$745,"=us",'ledger'!$D$2:$D$745,"=engineering",'ledger'!$E$2:$E$745,"=revenue",'ledger'!$G$2:$G$745,"apr26")</f>
        <v>0</v>
      </c>
      <c r="H5" s="4">
        <f>SUMIFS('ledger'!$F$2:$F$745,'ledger'!$C$2:$C$745,"=us",'ledger'!$D$2:$D$745,"=engineering",'ledger'!$E$2:$E$745,"=revenue",'ledger'!$G$2:$G$745,"may26")</f>
        <v>0</v>
      </c>
      <c r="I5" s="4">
        <f>SUMIFS('ledger'!$F$2:$F$745,'ledger'!$C$2:$C$745,"=us",'ledger'!$D$2:$D$745,"=engineering",'ledger'!$E$2:$E$745,"=revenue",'ledger'!$G$2:$G$745,"jun26")</f>
        <v>0</v>
      </c>
      <c r="J5" s="4">
        <f>SUMIFS('ledger'!$F$2:$F$745,'ledger'!$C$2:$C$745,"=us",'ledger'!$D$2:$D$745,"=engineering",'ledger'!$E$2:$E$745,"=revenue",'ledger'!$G$2:$G$745,"jul26")</f>
        <v>0</v>
      </c>
      <c r="K5" s="4">
        <f>SUMIFS('ledger'!$F$2:$F$745,'ledger'!$C$2:$C$745,"=us",'ledger'!$D$2:$D$745,"=engineering",'ledger'!$E$2:$E$745,"=revenue",'ledger'!$G$2:$G$745,"aug26")</f>
        <v>0</v>
      </c>
      <c r="L5" s="4">
        <f>(K5*(1+'Forecast drivers'!J9))</f>
        <v>0</v>
      </c>
      <c r="M5" s="4">
        <f>(L5*(1+'Forecast drivers'!K9))</f>
        <v>0</v>
      </c>
      <c r="N5" s="4">
        <f>(M5*(1+'Forecast drivers'!L9))</f>
        <v>0</v>
      </c>
      <c r="O5" s="4">
        <f>(N5*(1+'Forecast drivers'!M9))</f>
        <v>0</v>
      </c>
    </row>
    <row r="6">
      <c r="A6" s="0" t="inlineStr">
        <is>
          <t xml:space="preserve">Revenue</t>
        </is>
      </c>
      <c r="B6" s="0" t="inlineStr">
        <is>
          <t xml:space="preserve">United States</t>
        </is>
      </c>
      <c r="C6" s="0" t="inlineStr">
        <is>
          <t xml:space="preserve">Customer success</t>
        </is>
      </c>
      <c r="D6" s="4">
        <f>SUMIFS('ledger'!$F$2:$F$745,'ledger'!$C$2:$C$745,"=us",'ledger'!$D$2:$D$745,"=customer_success",'ledger'!$E$2:$E$745,"=revenue",'ledger'!$G$2:$G$745,"jan26")</f>
        <v>0</v>
      </c>
      <c r="E6" s="4">
        <f>SUMIFS('ledger'!$F$2:$F$745,'ledger'!$C$2:$C$745,"=us",'ledger'!$D$2:$D$745,"=customer_success",'ledger'!$E$2:$E$745,"=revenue",'ledger'!$G$2:$G$745,"feb26")</f>
        <v>0</v>
      </c>
      <c r="F6" s="4">
        <f>SUMIFS('ledger'!$F$2:$F$745,'ledger'!$C$2:$C$745,"=us",'ledger'!$D$2:$D$745,"=customer_success",'ledger'!$E$2:$E$745,"=revenue",'ledger'!$G$2:$G$745,"mar26")</f>
        <v>0</v>
      </c>
      <c r="G6" s="4">
        <f>SUMIFS('ledger'!$F$2:$F$745,'ledger'!$C$2:$C$745,"=us",'ledger'!$D$2:$D$745,"=customer_success",'ledger'!$E$2:$E$745,"=revenue",'ledger'!$G$2:$G$745,"apr26")</f>
        <v>0</v>
      </c>
      <c r="H6" s="4">
        <f>SUMIFS('ledger'!$F$2:$F$745,'ledger'!$C$2:$C$745,"=us",'ledger'!$D$2:$D$745,"=customer_success",'ledger'!$E$2:$E$745,"=revenue",'ledger'!$G$2:$G$745,"may26")</f>
        <v>0</v>
      </c>
      <c r="I6" s="4">
        <f>SUMIFS('ledger'!$F$2:$F$745,'ledger'!$C$2:$C$745,"=us",'ledger'!$D$2:$D$745,"=customer_success",'ledger'!$E$2:$E$745,"=revenue",'ledger'!$G$2:$G$745,"jun26")</f>
        <v>0</v>
      </c>
      <c r="J6" s="4">
        <f>SUMIFS('ledger'!$F$2:$F$745,'ledger'!$C$2:$C$745,"=us",'ledger'!$D$2:$D$745,"=customer_success",'ledger'!$E$2:$E$745,"=revenue",'ledger'!$G$2:$G$745,"jul26")</f>
        <v>0</v>
      </c>
      <c r="K6" s="4">
        <f>SUMIFS('ledger'!$F$2:$F$745,'ledger'!$C$2:$C$745,"=us",'ledger'!$D$2:$D$745,"=customer_success",'ledger'!$E$2:$E$745,"=revenue",'ledger'!$G$2:$G$745,"aug26")</f>
        <v>0</v>
      </c>
      <c r="L6" s="4">
        <f>(K6*(1+'Forecast drivers'!J9))</f>
        <v>0</v>
      </c>
      <c r="M6" s="4">
        <f>(L6*(1+'Forecast drivers'!K9))</f>
        <v>0</v>
      </c>
      <c r="N6" s="4">
        <f>(M6*(1+'Forecast drivers'!L9))</f>
        <v>0</v>
      </c>
      <c r="O6" s="4">
        <f>(N6*(1+'Forecast drivers'!M9))</f>
        <v>0</v>
      </c>
    </row>
    <row r="7">
      <c r="A7" s="0" t="inlineStr">
        <is>
          <t xml:space="preserve">Revenue</t>
        </is>
      </c>
      <c r="B7" s="0" t="inlineStr">
        <is>
          <t xml:space="preserve">United States</t>
        </is>
      </c>
      <c r="C7" s="0" t="inlineStr">
        <is>
          <t xml:space="preserve">G&amp;A</t>
        </is>
      </c>
      <c r="D7" s="4">
        <f>SUMIFS('ledger'!$F$2:$F$745,'ledger'!$C$2:$C$745,"=us",'ledger'!$D$2:$D$745,"=g_and_a",'ledger'!$E$2:$E$745,"=revenue",'ledger'!$G$2:$G$745,"jan26")</f>
        <v>0</v>
      </c>
      <c r="E7" s="4">
        <f>SUMIFS('ledger'!$F$2:$F$745,'ledger'!$C$2:$C$745,"=us",'ledger'!$D$2:$D$745,"=g_and_a",'ledger'!$E$2:$E$745,"=revenue",'ledger'!$G$2:$G$745,"feb26")</f>
        <v>0</v>
      </c>
      <c r="F7" s="4">
        <f>SUMIFS('ledger'!$F$2:$F$745,'ledger'!$C$2:$C$745,"=us",'ledger'!$D$2:$D$745,"=g_and_a",'ledger'!$E$2:$E$745,"=revenue",'ledger'!$G$2:$G$745,"mar26")</f>
        <v>0</v>
      </c>
      <c r="G7" s="4">
        <f>SUMIFS('ledger'!$F$2:$F$745,'ledger'!$C$2:$C$745,"=us",'ledger'!$D$2:$D$745,"=g_and_a",'ledger'!$E$2:$E$745,"=revenue",'ledger'!$G$2:$G$745,"apr26")</f>
        <v>0</v>
      </c>
      <c r="H7" s="4">
        <f>SUMIFS('ledger'!$F$2:$F$745,'ledger'!$C$2:$C$745,"=us",'ledger'!$D$2:$D$745,"=g_and_a",'ledger'!$E$2:$E$745,"=revenue",'ledger'!$G$2:$G$745,"may26")</f>
        <v>0</v>
      </c>
      <c r="I7" s="4">
        <f>SUMIFS('ledger'!$F$2:$F$745,'ledger'!$C$2:$C$745,"=us",'ledger'!$D$2:$D$745,"=g_and_a",'ledger'!$E$2:$E$745,"=revenue",'ledger'!$G$2:$G$745,"jun26")</f>
        <v>0</v>
      </c>
      <c r="J7" s="4">
        <f>SUMIFS('ledger'!$F$2:$F$745,'ledger'!$C$2:$C$745,"=us",'ledger'!$D$2:$D$745,"=g_and_a",'ledger'!$E$2:$E$745,"=revenue",'ledger'!$G$2:$G$745,"jul26")</f>
        <v>0</v>
      </c>
      <c r="K7" s="4">
        <f>SUMIFS('ledger'!$F$2:$F$745,'ledger'!$C$2:$C$745,"=us",'ledger'!$D$2:$D$745,"=g_and_a",'ledger'!$E$2:$E$745,"=revenue",'ledger'!$G$2:$G$745,"aug26")</f>
        <v>0</v>
      </c>
      <c r="L7" s="4">
        <f>(K7*(1+'Forecast drivers'!J9))</f>
        <v>0</v>
      </c>
      <c r="M7" s="4">
        <f>(L7*(1+'Forecast drivers'!K9))</f>
        <v>0</v>
      </c>
      <c r="N7" s="4">
        <f>(M7*(1+'Forecast drivers'!L9))</f>
        <v>0</v>
      </c>
      <c r="O7" s="4">
        <f>(N7*(1+'Forecast drivers'!M9))</f>
        <v>0</v>
      </c>
    </row>
    <row r="8">
      <c r="A8" s="0" t="inlineStr">
        <is>
          <t xml:space="preserve">Revenue</t>
        </is>
      </c>
      <c r="B8" s="0" t="inlineStr">
        <is>
          <t xml:space="preserve">United Kingdom</t>
        </is>
      </c>
      <c r="C8" s="0" t="inlineStr">
        <is>
          <t xml:space="preserve">Company (revenue and cost of revenue)</t>
        </is>
      </c>
      <c r="D8" s="8">
        <f>SUMIFS('ledger'!$F$2:$F$745,'ledger'!$C$2:$C$745,"=uk",'ledger'!$D$2:$D$745,"=company",'ledger'!$E$2:$E$745,"=revenue",'ledger'!$G$2:$G$745,"jan26")</f>
        <v>1673940</v>
      </c>
      <c r="E8" s="8">
        <f>SUMIFS('ledger'!$F$2:$F$745,'ledger'!$C$2:$C$745,"=uk",'ledger'!$D$2:$D$745,"=company",'ledger'!$E$2:$E$745,"=revenue",'ledger'!$G$2:$G$745,"feb26")</f>
        <v>1721315</v>
      </c>
      <c r="F8" s="8">
        <f>SUMIFS('ledger'!$F$2:$F$745,'ledger'!$C$2:$C$745,"=uk",'ledger'!$D$2:$D$745,"=company",'ledger'!$E$2:$E$745,"=revenue",'ledger'!$G$2:$G$745,"mar26")</f>
        <v>1792887</v>
      </c>
      <c r="G8" s="8">
        <f>SUMIFS('ledger'!$F$2:$F$745,'ledger'!$C$2:$C$745,"=uk",'ledger'!$D$2:$D$745,"=company",'ledger'!$E$2:$E$745,"=revenue",'ledger'!$G$2:$G$745,"apr26")</f>
        <v>1859611</v>
      </c>
      <c r="H8" s="8">
        <f>SUMIFS('ledger'!$F$2:$F$745,'ledger'!$C$2:$C$745,"=uk",'ledger'!$D$2:$D$745,"=company",'ledger'!$E$2:$E$745,"=revenue",'ledger'!$G$2:$G$745,"may26")</f>
        <v>1874770</v>
      </c>
      <c r="I8" s="8">
        <f>SUMIFS('ledger'!$F$2:$F$745,'ledger'!$C$2:$C$745,"=uk",'ledger'!$D$2:$D$745,"=company",'ledger'!$E$2:$E$745,"=revenue",'ledger'!$G$2:$G$745,"jun26")</f>
        <v>1971962</v>
      </c>
      <c r="J8" s="8">
        <f>SUMIFS('ledger'!$F$2:$F$745,'ledger'!$C$2:$C$745,"=uk",'ledger'!$D$2:$D$745,"=company",'ledger'!$E$2:$E$745,"=revenue",'ledger'!$G$2:$G$745,"jul26")</f>
        <v>1948393</v>
      </c>
      <c r="K8" s="8">
        <f>SUMIFS('ledger'!$F$2:$F$745,'ledger'!$C$2:$C$745,"=uk",'ledger'!$D$2:$D$745,"=company",'ledger'!$E$2:$E$745,"=revenue",'ledger'!$G$2:$G$745,"aug26")</f>
        <v>1943549</v>
      </c>
      <c r="L8" s="8">
        <f>(K8*(1+'Forecast drivers'!J2))</f>
        <v>1980476.4309999999</v>
      </c>
      <c r="M8" s="8">
        <f>(L8*(1+'Forecast drivers'!K2))</f>
        <v>2018105.4831889996</v>
      </c>
      <c r="N8" s="8">
        <f>(M8*(1+'Forecast drivers'!L2))</f>
        <v>2056449.4873695904</v>
      </c>
      <c r="O8" s="8">
        <f>(N8*(1+'Forecast drivers'!M2))</f>
        <v>2095522.0276296125</v>
      </c>
    </row>
    <row r="9">
      <c r="A9" s="0" t="inlineStr">
        <is>
          <t xml:space="preserve">Revenue</t>
        </is>
      </c>
      <c r="B9" s="0" t="inlineStr">
        <is>
          <t xml:space="preserve">United Kingdom</t>
        </is>
      </c>
      <c r="C9" s="0" t="inlineStr">
        <is>
          <t xml:space="preserve">Sales</t>
        </is>
      </c>
      <c r="D9" s="4">
        <f>SUMIFS('ledger'!$F$2:$F$745,'ledger'!$C$2:$C$745,"=uk",'ledger'!$D$2:$D$745,"=sales",'ledger'!$E$2:$E$745,"=revenue",'ledger'!$G$2:$G$745,"jan26")</f>
        <v>0</v>
      </c>
      <c r="E9" s="4">
        <f>SUMIFS('ledger'!$F$2:$F$745,'ledger'!$C$2:$C$745,"=uk",'ledger'!$D$2:$D$745,"=sales",'ledger'!$E$2:$E$745,"=revenue",'ledger'!$G$2:$G$745,"feb26")</f>
        <v>0</v>
      </c>
      <c r="F9" s="4">
        <f>SUMIFS('ledger'!$F$2:$F$745,'ledger'!$C$2:$C$745,"=uk",'ledger'!$D$2:$D$745,"=sales",'ledger'!$E$2:$E$745,"=revenue",'ledger'!$G$2:$G$745,"mar26")</f>
        <v>0</v>
      </c>
      <c r="G9" s="4">
        <f>SUMIFS('ledger'!$F$2:$F$745,'ledger'!$C$2:$C$745,"=uk",'ledger'!$D$2:$D$745,"=sales",'ledger'!$E$2:$E$745,"=revenue",'ledger'!$G$2:$G$745,"apr26")</f>
        <v>0</v>
      </c>
      <c r="H9" s="4">
        <f>SUMIFS('ledger'!$F$2:$F$745,'ledger'!$C$2:$C$745,"=uk",'ledger'!$D$2:$D$745,"=sales",'ledger'!$E$2:$E$745,"=revenue",'ledger'!$G$2:$G$745,"may26")</f>
        <v>0</v>
      </c>
      <c r="I9" s="4">
        <f>SUMIFS('ledger'!$F$2:$F$745,'ledger'!$C$2:$C$745,"=uk",'ledger'!$D$2:$D$745,"=sales",'ledger'!$E$2:$E$745,"=revenue",'ledger'!$G$2:$G$745,"jun26")</f>
        <v>0</v>
      </c>
      <c r="J9" s="4">
        <f>SUMIFS('ledger'!$F$2:$F$745,'ledger'!$C$2:$C$745,"=uk",'ledger'!$D$2:$D$745,"=sales",'ledger'!$E$2:$E$745,"=revenue",'ledger'!$G$2:$G$745,"jul26")</f>
        <v>0</v>
      </c>
      <c r="K9" s="4">
        <f>SUMIFS('ledger'!$F$2:$F$745,'ledger'!$C$2:$C$745,"=uk",'ledger'!$D$2:$D$745,"=sales",'ledger'!$E$2:$E$745,"=revenue",'ledger'!$G$2:$G$745,"aug26")</f>
        <v>0</v>
      </c>
      <c r="L9" s="4">
        <f>(K9*(1+'Forecast drivers'!J9))</f>
        <v>0</v>
      </c>
      <c r="M9" s="4">
        <f>(L9*(1+'Forecast drivers'!K9))</f>
        <v>0</v>
      </c>
      <c r="N9" s="4">
        <f>(M9*(1+'Forecast drivers'!L9))</f>
        <v>0</v>
      </c>
      <c r="O9" s="4">
        <f>(N9*(1+'Forecast drivers'!M9))</f>
        <v>0</v>
      </c>
    </row>
    <row r="10">
      <c r="A10" s="0" t="inlineStr">
        <is>
          <t xml:space="preserve">Revenue</t>
        </is>
      </c>
      <c r="B10" s="0" t="inlineStr">
        <is>
          <t xml:space="preserve">United Kingdom</t>
        </is>
      </c>
      <c r="C10" s="0" t="inlineStr">
        <is>
          <t xml:space="preserve">Marketing</t>
        </is>
      </c>
      <c r="D10" s="4">
        <f>SUMIFS('ledger'!$F$2:$F$745,'ledger'!$C$2:$C$745,"=uk",'ledger'!$D$2:$D$745,"=marketing",'ledger'!$E$2:$E$745,"=revenue",'ledger'!$G$2:$G$745,"jan26")</f>
        <v>0</v>
      </c>
      <c r="E10" s="4">
        <f>SUMIFS('ledger'!$F$2:$F$745,'ledger'!$C$2:$C$745,"=uk",'ledger'!$D$2:$D$745,"=marketing",'ledger'!$E$2:$E$745,"=revenue",'ledger'!$G$2:$G$745,"feb26")</f>
        <v>0</v>
      </c>
      <c r="F10" s="4">
        <f>SUMIFS('ledger'!$F$2:$F$745,'ledger'!$C$2:$C$745,"=uk",'ledger'!$D$2:$D$745,"=marketing",'ledger'!$E$2:$E$745,"=revenue",'ledger'!$G$2:$G$745,"mar26")</f>
        <v>0</v>
      </c>
      <c r="G10" s="4">
        <f>SUMIFS('ledger'!$F$2:$F$745,'ledger'!$C$2:$C$745,"=uk",'ledger'!$D$2:$D$745,"=marketing",'ledger'!$E$2:$E$745,"=revenue",'ledger'!$G$2:$G$745,"apr26")</f>
        <v>0</v>
      </c>
      <c r="H10" s="4">
        <f>SUMIFS('ledger'!$F$2:$F$745,'ledger'!$C$2:$C$745,"=uk",'ledger'!$D$2:$D$745,"=marketing",'ledger'!$E$2:$E$745,"=revenue",'ledger'!$G$2:$G$745,"may26")</f>
        <v>0</v>
      </c>
      <c r="I10" s="4">
        <f>SUMIFS('ledger'!$F$2:$F$745,'ledger'!$C$2:$C$745,"=uk",'ledger'!$D$2:$D$745,"=marketing",'ledger'!$E$2:$E$745,"=revenue",'ledger'!$G$2:$G$745,"jun26")</f>
        <v>0</v>
      </c>
      <c r="J10" s="4">
        <f>SUMIFS('ledger'!$F$2:$F$745,'ledger'!$C$2:$C$745,"=uk",'ledger'!$D$2:$D$745,"=marketing",'ledger'!$E$2:$E$745,"=revenue",'ledger'!$G$2:$G$745,"jul26")</f>
        <v>0</v>
      </c>
      <c r="K10" s="4">
        <f>SUMIFS('ledger'!$F$2:$F$745,'ledger'!$C$2:$C$745,"=uk",'ledger'!$D$2:$D$745,"=marketing",'ledger'!$E$2:$E$745,"=revenue",'ledger'!$G$2:$G$745,"aug26")</f>
        <v>0</v>
      </c>
      <c r="L10" s="4">
        <f>(K10*(1+'Forecast drivers'!J9))</f>
        <v>0</v>
      </c>
      <c r="M10" s="4">
        <f>(L10*(1+'Forecast drivers'!K9))</f>
        <v>0</v>
      </c>
      <c r="N10" s="4">
        <f>(M10*(1+'Forecast drivers'!L9))</f>
        <v>0</v>
      </c>
      <c r="O10" s="4">
        <f>(N10*(1+'Forecast drivers'!M9))</f>
        <v>0</v>
      </c>
    </row>
    <row r="11">
      <c r="A11" s="0" t="inlineStr">
        <is>
          <t xml:space="preserve">Revenue</t>
        </is>
      </c>
      <c r="B11" s="0" t="inlineStr">
        <is>
          <t xml:space="preserve">United Kingdom</t>
        </is>
      </c>
      <c r="C11" s="0" t="inlineStr">
        <is>
          <t xml:space="preserve">Engineering</t>
        </is>
      </c>
      <c r="D11" s="4">
        <f>SUMIFS('ledger'!$F$2:$F$745,'ledger'!$C$2:$C$745,"=uk",'ledger'!$D$2:$D$745,"=engineering",'ledger'!$E$2:$E$745,"=revenue",'ledger'!$G$2:$G$745,"jan26")</f>
        <v>0</v>
      </c>
      <c r="E11" s="4">
        <f>SUMIFS('ledger'!$F$2:$F$745,'ledger'!$C$2:$C$745,"=uk",'ledger'!$D$2:$D$745,"=engineering",'ledger'!$E$2:$E$745,"=revenue",'ledger'!$G$2:$G$745,"feb26")</f>
        <v>0</v>
      </c>
      <c r="F11" s="4">
        <f>SUMIFS('ledger'!$F$2:$F$745,'ledger'!$C$2:$C$745,"=uk",'ledger'!$D$2:$D$745,"=engineering",'ledger'!$E$2:$E$745,"=revenue",'ledger'!$G$2:$G$745,"mar26")</f>
        <v>0</v>
      </c>
      <c r="G11" s="4">
        <f>SUMIFS('ledger'!$F$2:$F$745,'ledger'!$C$2:$C$745,"=uk",'ledger'!$D$2:$D$745,"=engineering",'ledger'!$E$2:$E$745,"=revenue",'ledger'!$G$2:$G$745,"apr26")</f>
        <v>0</v>
      </c>
      <c r="H11" s="4">
        <f>SUMIFS('ledger'!$F$2:$F$745,'ledger'!$C$2:$C$745,"=uk",'ledger'!$D$2:$D$745,"=engineering",'ledger'!$E$2:$E$745,"=revenue",'ledger'!$G$2:$G$745,"may26")</f>
        <v>0</v>
      </c>
      <c r="I11" s="4">
        <f>SUMIFS('ledger'!$F$2:$F$745,'ledger'!$C$2:$C$745,"=uk",'ledger'!$D$2:$D$745,"=engineering",'ledger'!$E$2:$E$745,"=revenue",'ledger'!$G$2:$G$745,"jun26")</f>
        <v>0</v>
      </c>
      <c r="J11" s="4">
        <f>SUMIFS('ledger'!$F$2:$F$745,'ledger'!$C$2:$C$745,"=uk",'ledger'!$D$2:$D$745,"=engineering",'ledger'!$E$2:$E$745,"=revenue",'ledger'!$G$2:$G$745,"jul26")</f>
        <v>0</v>
      </c>
      <c r="K11" s="4">
        <f>SUMIFS('ledger'!$F$2:$F$745,'ledger'!$C$2:$C$745,"=uk",'ledger'!$D$2:$D$745,"=engineering",'ledger'!$E$2:$E$745,"=revenue",'ledger'!$G$2:$G$745,"aug26")</f>
        <v>0</v>
      </c>
      <c r="L11" s="4">
        <f>(K11*(1+'Forecast drivers'!J9))</f>
        <v>0</v>
      </c>
      <c r="M11" s="4">
        <f>(L11*(1+'Forecast drivers'!K9))</f>
        <v>0</v>
      </c>
      <c r="N11" s="4">
        <f>(M11*(1+'Forecast drivers'!L9))</f>
        <v>0</v>
      </c>
      <c r="O11" s="4">
        <f>(N11*(1+'Forecast drivers'!M9))</f>
        <v>0</v>
      </c>
    </row>
    <row r="12">
      <c r="A12" s="0" t="inlineStr">
        <is>
          <t xml:space="preserve">Revenue</t>
        </is>
      </c>
      <c r="B12" s="0" t="inlineStr">
        <is>
          <t xml:space="preserve">United Kingdom</t>
        </is>
      </c>
      <c r="C12" s="0" t="inlineStr">
        <is>
          <t xml:space="preserve">Customer success</t>
        </is>
      </c>
      <c r="D12" s="4">
        <f>SUMIFS('ledger'!$F$2:$F$745,'ledger'!$C$2:$C$745,"=uk",'ledger'!$D$2:$D$745,"=customer_success",'ledger'!$E$2:$E$745,"=revenue",'ledger'!$G$2:$G$745,"jan26")</f>
        <v>0</v>
      </c>
      <c r="E12" s="4">
        <f>SUMIFS('ledger'!$F$2:$F$745,'ledger'!$C$2:$C$745,"=uk",'ledger'!$D$2:$D$745,"=customer_success",'ledger'!$E$2:$E$745,"=revenue",'ledger'!$G$2:$G$745,"feb26")</f>
        <v>0</v>
      </c>
      <c r="F12" s="4">
        <f>SUMIFS('ledger'!$F$2:$F$745,'ledger'!$C$2:$C$745,"=uk",'ledger'!$D$2:$D$745,"=customer_success",'ledger'!$E$2:$E$745,"=revenue",'ledger'!$G$2:$G$745,"mar26")</f>
        <v>0</v>
      </c>
      <c r="G12" s="4">
        <f>SUMIFS('ledger'!$F$2:$F$745,'ledger'!$C$2:$C$745,"=uk",'ledger'!$D$2:$D$745,"=customer_success",'ledger'!$E$2:$E$745,"=revenue",'ledger'!$G$2:$G$745,"apr26")</f>
        <v>0</v>
      </c>
      <c r="H12" s="4">
        <f>SUMIFS('ledger'!$F$2:$F$745,'ledger'!$C$2:$C$745,"=uk",'ledger'!$D$2:$D$745,"=customer_success",'ledger'!$E$2:$E$745,"=revenue",'ledger'!$G$2:$G$745,"may26")</f>
        <v>0</v>
      </c>
      <c r="I12" s="4">
        <f>SUMIFS('ledger'!$F$2:$F$745,'ledger'!$C$2:$C$745,"=uk",'ledger'!$D$2:$D$745,"=customer_success",'ledger'!$E$2:$E$745,"=revenue",'ledger'!$G$2:$G$745,"jun26")</f>
        <v>0</v>
      </c>
      <c r="J12" s="4">
        <f>SUMIFS('ledger'!$F$2:$F$745,'ledger'!$C$2:$C$745,"=uk",'ledger'!$D$2:$D$745,"=customer_success",'ledger'!$E$2:$E$745,"=revenue",'ledger'!$G$2:$G$745,"jul26")</f>
        <v>0</v>
      </c>
      <c r="K12" s="4">
        <f>SUMIFS('ledger'!$F$2:$F$745,'ledger'!$C$2:$C$745,"=uk",'ledger'!$D$2:$D$745,"=customer_success",'ledger'!$E$2:$E$745,"=revenue",'ledger'!$G$2:$G$745,"aug26")</f>
        <v>0</v>
      </c>
      <c r="L12" s="4">
        <f>(K12*(1+'Forecast drivers'!J9))</f>
        <v>0</v>
      </c>
      <c r="M12" s="4">
        <f>(L12*(1+'Forecast drivers'!K9))</f>
        <v>0</v>
      </c>
      <c r="N12" s="4">
        <f>(M12*(1+'Forecast drivers'!L9))</f>
        <v>0</v>
      </c>
      <c r="O12" s="4">
        <f>(N12*(1+'Forecast drivers'!M9))</f>
        <v>0</v>
      </c>
    </row>
    <row r="13">
      <c r="A13" s="0" t="inlineStr">
        <is>
          <t xml:space="preserve">Revenue</t>
        </is>
      </c>
      <c r="B13" s="0" t="inlineStr">
        <is>
          <t xml:space="preserve">United Kingdom</t>
        </is>
      </c>
      <c r="C13" s="0" t="inlineStr">
        <is>
          <t xml:space="preserve">G&amp;A</t>
        </is>
      </c>
      <c r="D13" s="4">
        <f>SUMIFS('ledger'!$F$2:$F$745,'ledger'!$C$2:$C$745,"=uk",'ledger'!$D$2:$D$745,"=g_and_a",'ledger'!$E$2:$E$745,"=revenue",'ledger'!$G$2:$G$745,"jan26")</f>
        <v>0</v>
      </c>
      <c r="E13" s="4">
        <f>SUMIFS('ledger'!$F$2:$F$745,'ledger'!$C$2:$C$745,"=uk",'ledger'!$D$2:$D$745,"=g_and_a",'ledger'!$E$2:$E$745,"=revenue",'ledger'!$G$2:$G$745,"feb26")</f>
        <v>0</v>
      </c>
      <c r="F13" s="4">
        <f>SUMIFS('ledger'!$F$2:$F$745,'ledger'!$C$2:$C$745,"=uk",'ledger'!$D$2:$D$745,"=g_and_a",'ledger'!$E$2:$E$745,"=revenue",'ledger'!$G$2:$G$745,"mar26")</f>
        <v>0</v>
      </c>
      <c r="G13" s="4">
        <f>SUMIFS('ledger'!$F$2:$F$745,'ledger'!$C$2:$C$745,"=uk",'ledger'!$D$2:$D$745,"=g_and_a",'ledger'!$E$2:$E$745,"=revenue",'ledger'!$G$2:$G$745,"apr26")</f>
        <v>0</v>
      </c>
      <c r="H13" s="4">
        <f>SUMIFS('ledger'!$F$2:$F$745,'ledger'!$C$2:$C$745,"=uk",'ledger'!$D$2:$D$745,"=g_and_a",'ledger'!$E$2:$E$745,"=revenue",'ledger'!$G$2:$G$745,"may26")</f>
        <v>0</v>
      </c>
      <c r="I13" s="4">
        <f>SUMIFS('ledger'!$F$2:$F$745,'ledger'!$C$2:$C$745,"=uk",'ledger'!$D$2:$D$745,"=g_and_a",'ledger'!$E$2:$E$745,"=revenue",'ledger'!$G$2:$G$745,"jun26")</f>
        <v>0</v>
      </c>
      <c r="J13" s="4">
        <f>SUMIFS('ledger'!$F$2:$F$745,'ledger'!$C$2:$C$745,"=uk",'ledger'!$D$2:$D$745,"=g_and_a",'ledger'!$E$2:$E$745,"=revenue",'ledger'!$G$2:$G$745,"jul26")</f>
        <v>0</v>
      </c>
      <c r="K13" s="4">
        <f>SUMIFS('ledger'!$F$2:$F$745,'ledger'!$C$2:$C$745,"=uk",'ledger'!$D$2:$D$745,"=g_and_a",'ledger'!$E$2:$E$745,"=revenue",'ledger'!$G$2:$G$745,"aug26")</f>
        <v>0</v>
      </c>
      <c r="L13" s="4">
        <f>(K13*(1+'Forecast drivers'!J9))</f>
        <v>0</v>
      </c>
      <c r="M13" s="4">
        <f>(L13*(1+'Forecast drivers'!K9))</f>
        <v>0</v>
      </c>
      <c r="N13" s="4">
        <f>(M13*(1+'Forecast drivers'!L9))</f>
        <v>0</v>
      </c>
      <c r="O13" s="4">
        <f>(N13*(1+'Forecast drivers'!M9))</f>
        <v>0</v>
      </c>
    </row>
    <row r="14">
      <c r="A14" s="0" t="inlineStr">
        <is>
          <t xml:space="preserve">Cost of revenue: hosting</t>
        </is>
      </c>
      <c r="B14" s="0" t="inlineStr">
        <is>
          <t xml:space="preserve">United States</t>
        </is>
      </c>
      <c r="C14" s="0" t="inlineStr">
        <is>
          <t xml:space="preserve">Company (revenue and cost of revenue)</t>
        </is>
      </c>
      <c r="D14" s="8">
        <f>SUMIFS('ledger'!$F$2:$F$745,'ledger'!$C$2:$C$745,"=us",'ledger'!$D$2:$D$745,"=company",'ledger'!$E$2:$E$745,"=cogs_hosting",'ledger'!$G$2:$G$745,"jan26")</f>
        <v>-494497</v>
      </c>
      <c r="E14" s="8">
        <f>SUMIFS('ledger'!$F$2:$F$745,'ledger'!$C$2:$C$745,"=us",'ledger'!$D$2:$D$745,"=company",'ledger'!$E$2:$E$745,"=cogs_hosting",'ledger'!$G$2:$G$745,"feb26")</f>
        <v>-469075</v>
      </c>
      <c r="F14" s="8">
        <f>SUMIFS('ledger'!$F$2:$F$745,'ledger'!$C$2:$C$745,"=us",'ledger'!$D$2:$D$745,"=company",'ledger'!$E$2:$E$745,"=cogs_hosting",'ledger'!$G$2:$G$745,"mar26")</f>
        <v>-493099</v>
      </c>
      <c r="G14" s="8">
        <f>SUMIFS('ledger'!$F$2:$F$745,'ledger'!$C$2:$C$745,"=us",'ledger'!$D$2:$D$745,"=company",'ledger'!$E$2:$E$745,"=cogs_hosting",'ledger'!$G$2:$G$745,"apr26")</f>
        <v>-536848</v>
      </c>
      <c r="H14" s="8">
        <f>SUMIFS('ledger'!$F$2:$F$745,'ledger'!$C$2:$C$745,"=us",'ledger'!$D$2:$D$745,"=company",'ledger'!$E$2:$E$745,"=cogs_hosting",'ledger'!$G$2:$G$745,"may26")</f>
        <v>-544529</v>
      </c>
      <c r="I14" s="8">
        <f>SUMIFS('ledger'!$F$2:$F$745,'ledger'!$C$2:$C$745,"=us",'ledger'!$D$2:$D$745,"=company",'ledger'!$E$2:$E$745,"=cogs_hosting",'ledger'!$G$2:$G$745,"jun26")</f>
        <v>-565452</v>
      </c>
      <c r="J14" s="8">
        <f>SUMIFS('ledger'!$F$2:$F$745,'ledger'!$C$2:$C$745,"=us",'ledger'!$D$2:$D$745,"=company",'ledger'!$E$2:$E$745,"=cogs_hosting",'ledger'!$G$2:$G$745,"jul26")</f>
        <v>-519886</v>
      </c>
      <c r="K14" s="8">
        <f>SUMIFS('ledger'!$F$2:$F$745,'ledger'!$C$2:$C$745,"=us",'ledger'!$D$2:$D$745,"=company",'ledger'!$E$2:$E$745,"=cogs_hosting",'ledger'!$G$2:$G$745,"aug26")</f>
        <v>-545435</v>
      </c>
      <c r="L14" s="8">
        <f>(-(L2)*'Forecast drivers'!J3)</f>
        <v>-546384.096954</v>
      </c>
      <c r="M14" s="8">
        <f>(-(M2)*'Forecast drivers'!K3)</f>
        <v>-556765.3947961259</v>
      </c>
      <c r="N14" s="8">
        <f>(-(N2)*'Forecast drivers'!L3)</f>
        <v>-567343.9372972522</v>
      </c>
      <c r="O14" s="8">
        <f>(-(O2)*'Forecast drivers'!M3)</f>
        <v>-578123.4721059</v>
      </c>
    </row>
    <row r="15">
      <c r="A15" s="0" t="inlineStr">
        <is>
          <t xml:space="preserve">Cost of revenue: hosting</t>
        </is>
      </c>
      <c r="B15" s="0" t="inlineStr">
        <is>
          <t xml:space="preserve">United States</t>
        </is>
      </c>
      <c r="C15" s="0" t="inlineStr">
        <is>
          <t xml:space="preserve">Sales</t>
        </is>
      </c>
      <c r="D15" s="4">
        <f>SUMIFS('ledger'!$F$2:$F$745,'ledger'!$C$2:$C$745,"=us",'ledger'!$D$2:$D$745,"=sales",'ledger'!$E$2:$E$745,"=cogs_hosting",'ledger'!$G$2:$G$745,"jan26")</f>
        <v>0</v>
      </c>
      <c r="E15" s="4">
        <f>SUMIFS('ledger'!$F$2:$F$745,'ledger'!$C$2:$C$745,"=us",'ledger'!$D$2:$D$745,"=sales",'ledger'!$E$2:$E$745,"=cogs_hosting",'ledger'!$G$2:$G$745,"feb26")</f>
        <v>0</v>
      </c>
      <c r="F15" s="4">
        <f>SUMIFS('ledger'!$F$2:$F$745,'ledger'!$C$2:$C$745,"=us",'ledger'!$D$2:$D$745,"=sales",'ledger'!$E$2:$E$745,"=cogs_hosting",'ledger'!$G$2:$G$745,"mar26")</f>
        <v>0</v>
      </c>
      <c r="G15" s="4">
        <f>SUMIFS('ledger'!$F$2:$F$745,'ledger'!$C$2:$C$745,"=us",'ledger'!$D$2:$D$745,"=sales",'ledger'!$E$2:$E$745,"=cogs_hosting",'ledger'!$G$2:$G$745,"apr26")</f>
        <v>0</v>
      </c>
      <c r="H15" s="4">
        <f>SUMIFS('ledger'!$F$2:$F$745,'ledger'!$C$2:$C$745,"=us",'ledger'!$D$2:$D$745,"=sales",'ledger'!$E$2:$E$745,"=cogs_hosting",'ledger'!$G$2:$G$745,"may26")</f>
        <v>0</v>
      </c>
      <c r="I15" s="4">
        <f>SUMIFS('ledger'!$F$2:$F$745,'ledger'!$C$2:$C$745,"=us",'ledger'!$D$2:$D$745,"=sales",'ledger'!$E$2:$E$745,"=cogs_hosting",'ledger'!$G$2:$G$745,"jun26")</f>
        <v>0</v>
      </c>
      <c r="J15" s="4">
        <f>SUMIFS('ledger'!$F$2:$F$745,'ledger'!$C$2:$C$745,"=us",'ledger'!$D$2:$D$745,"=sales",'ledger'!$E$2:$E$745,"=cogs_hosting",'ledger'!$G$2:$G$745,"jul26")</f>
        <v>0</v>
      </c>
      <c r="K15" s="4">
        <f>SUMIFS('ledger'!$F$2:$F$745,'ledger'!$C$2:$C$745,"=us",'ledger'!$D$2:$D$745,"=sales",'ledger'!$E$2:$E$745,"=cogs_hosting",'ledger'!$G$2:$G$745,"aug26")</f>
        <v>0</v>
      </c>
      <c r="L15" s="4">
        <f>(K15*(1+'Forecast drivers'!J9))</f>
        <v>0</v>
      </c>
      <c r="M15" s="4">
        <f>(L15*(1+'Forecast drivers'!K9))</f>
        <v>0</v>
      </c>
      <c r="N15" s="4">
        <f>(M15*(1+'Forecast drivers'!L9))</f>
        <v>0</v>
      </c>
      <c r="O15" s="4">
        <f>(N15*(1+'Forecast drivers'!M9))</f>
        <v>0</v>
      </c>
    </row>
    <row r="16">
      <c r="A16" s="0" t="inlineStr">
        <is>
          <t xml:space="preserve">Cost of revenue: hosting</t>
        </is>
      </c>
      <c r="B16" s="0" t="inlineStr">
        <is>
          <t xml:space="preserve">United States</t>
        </is>
      </c>
      <c r="C16" s="0" t="inlineStr">
        <is>
          <t xml:space="preserve">Marketing</t>
        </is>
      </c>
      <c r="D16" s="4">
        <f>SUMIFS('ledger'!$F$2:$F$745,'ledger'!$C$2:$C$745,"=us",'ledger'!$D$2:$D$745,"=marketing",'ledger'!$E$2:$E$745,"=cogs_hosting",'ledger'!$G$2:$G$745,"jan26")</f>
        <v>0</v>
      </c>
      <c r="E16" s="4">
        <f>SUMIFS('ledger'!$F$2:$F$745,'ledger'!$C$2:$C$745,"=us",'ledger'!$D$2:$D$745,"=marketing",'ledger'!$E$2:$E$745,"=cogs_hosting",'ledger'!$G$2:$G$745,"feb26")</f>
        <v>0</v>
      </c>
      <c r="F16" s="4">
        <f>SUMIFS('ledger'!$F$2:$F$745,'ledger'!$C$2:$C$745,"=us",'ledger'!$D$2:$D$745,"=marketing",'ledger'!$E$2:$E$745,"=cogs_hosting",'ledger'!$G$2:$G$745,"mar26")</f>
        <v>0</v>
      </c>
      <c r="G16" s="4">
        <f>SUMIFS('ledger'!$F$2:$F$745,'ledger'!$C$2:$C$745,"=us",'ledger'!$D$2:$D$745,"=marketing",'ledger'!$E$2:$E$745,"=cogs_hosting",'ledger'!$G$2:$G$745,"apr26")</f>
        <v>0</v>
      </c>
      <c r="H16" s="4">
        <f>SUMIFS('ledger'!$F$2:$F$745,'ledger'!$C$2:$C$745,"=us",'ledger'!$D$2:$D$745,"=marketing",'ledger'!$E$2:$E$745,"=cogs_hosting",'ledger'!$G$2:$G$745,"may26")</f>
        <v>0</v>
      </c>
      <c r="I16" s="4">
        <f>SUMIFS('ledger'!$F$2:$F$745,'ledger'!$C$2:$C$745,"=us",'ledger'!$D$2:$D$745,"=marketing",'ledger'!$E$2:$E$745,"=cogs_hosting",'ledger'!$G$2:$G$745,"jun26")</f>
        <v>0</v>
      </c>
      <c r="J16" s="4">
        <f>SUMIFS('ledger'!$F$2:$F$745,'ledger'!$C$2:$C$745,"=us",'ledger'!$D$2:$D$745,"=marketing",'ledger'!$E$2:$E$745,"=cogs_hosting",'ledger'!$G$2:$G$745,"jul26")</f>
        <v>0</v>
      </c>
      <c r="K16" s="4">
        <f>SUMIFS('ledger'!$F$2:$F$745,'ledger'!$C$2:$C$745,"=us",'ledger'!$D$2:$D$745,"=marketing",'ledger'!$E$2:$E$745,"=cogs_hosting",'ledger'!$G$2:$G$745,"aug26")</f>
        <v>0</v>
      </c>
      <c r="L16" s="4">
        <f>(K16*(1+'Forecast drivers'!J9))</f>
        <v>0</v>
      </c>
      <c r="M16" s="4">
        <f>(L16*(1+'Forecast drivers'!K9))</f>
        <v>0</v>
      </c>
      <c r="N16" s="4">
        <f>(M16*(1+'Forecast drivers'!L9))</f>
        <v>0</v>
      </c>
      <c r="O16" s="4">
        <f>(N16*(1+'Forecast drivers'!M9))</f>
        <v>0</v>
      </c>
    </row>
    <row r="17">
      <c r="A17" s="0" t="inlineStr">
        <is>
          <t xml:space="preserve">Cost of revenue: hosting</t>
        </is>
      </c>
      <c r="B17" s="0" t="inlineStr">
        <is>
          <t xml:space="preserve">United States</t>
        </is>
      </c>
      <c r="C17" s="0" t="inlineStr">
        <is>
          <t xml:space="preserve">Engineering</t>
        </is>
      </c>
      <c r="D17" s="4">
        <f>SUMIFS('ledger'!$F$2:$F$745,'ledger'!$C$2:$C$745,"=us",'ledger'!$D$2:$D$745,"=engineering",'ledger'!$E$2:$E$745,"=cogs_hosting",'ledger'!$G$2:$G$745,"jan26")</f>
        <v>0</v>
      </c>
      <c r="E17" s="4">
        <f>SUMIFS('ledger'!$F$2:$F$745,'ledger'!$C$2:$C$745,"=us",'ledger'!$D$2:$D$745,"=engineering",'ledger'!$E$2:$E$745,"=cogs_hosting",'ledger'!$G$2:$G$745,"feb26")</f>
        <v>0</v>
      </c>
      <c r="F17" s="4">
        <f>SUMIFS('ledger'!$F$2:$F$745,'ledger'!$C$2:$C$745,"=us",'ledger'!$D$2:$D$745,"=engineering",'ledger'!$E$2:$E$745,"=cogs_hosting",'ledger'!$G$2:$G$745,"mar26")</f>
        <v>0</v>
      </c>
      <c r="G17" s="4">
        <f>SUMIFS('ledger'!$F$2:$F$745,'ledger'!$C$2:$C$745,"=us",'ledger'!$D$2:$D$745,"=engineering",'ledger'!$E$2:$E$745,"=cogs_hosting",'ledger'!$G$2:$G$745,"apr26")</f>
        <v>0</v>
      </c>
      <c r="H17" s="4">
        <f>SUMIFS('ledger'!$F$2:$F$745,'ledger'!$C$2:$C$745,"=us",'ledger'!$D$2:$D$745,"=engineering",'ledger'!$E$2:$E$745,"=cogs_hosting",'ledger'!$G$2:$G$745,"may26")</f>
        <v>0</v>
      </c>
      <c r="I17" s="4">
        <f>SUMIFS('ledger'!$F$2:$F$745,'ledger'!$C$2:$C$745,"=us",'ledger'!$D$2:$D$745,"=engineering",'ledger'!$E$2:$E$745,"=cogs_hosting",'ledger'!$G$2:$G$745,"jun26")</f>
        <v>0</v>
      </c>
      <c r="J17" s="4">
        <f>SUMIFS('ledger'!$F$2:$F$745,'ledger'!$C$2:$C$745,"=us",'ledger'!$D$2:$D$745,"=engineering",'ledger'!$E$2:$E$745,"=cogs_hosting",'ledger'!$G$2:$G$745,"jul26")</f>
        <v>0</v>
      </c>
      <c r="K17" s="4">
        <f>SUMIFS('ledger'!$F$2:$F$745,'ledger'!$C$2:$C$745,"=us",'ledger'!$D$2:$D$745,"=engineering",'ledger'!$E$2:$E$745,"=cogs_hosting",'ledger'!$G$2:$G$745,"aug26")</f>
        <v>0</v>
      </c>
      <c r="L17" s="4">
        <f>(K17*(1+'Forecast drivers'!J9))</f>
        <v>0</v>
      </c>
      <c r="M17" s="4">
        <f>(L17*(1+'Forecast drivers'!K9))</f>
        <v>0</v>
      </c>
      <c r="N17" s="4">
        <f>(M17*(1+'Forecast drivers'!L9))</f>
        <v>0</v>
      </c>
      <c r="O17" s="4">
        <f>(N17*(1+'Forecast drivers'!M9))</f>
        <v>0</v>
      </c>
    </row>
    <row r="18">
      <c r="A18" s="0" t="inlineStr">
        <is>
          <t xml:space="preserve">Cost of revenue: hosting</t>
        </is>
      </c>
      <c r="B18" s="0" t="inlineStr">
        <is>
          <t xml:space="preserve">United States</t>
        </is>
      </c>
      <c r="C18" s="0" t="inlineStr">
        <is>
          <t xml:space="preserve">Customer success</t>
        </is>
      </c>
      <c r="D18" s="4">
        <f>SUMIFS('ledger'!$F$2:$F$745,'ledger'!$C$2:$C$745,"=us",'ledger'!$D$2:$D$745,"=customer_success",'ledger'!$E$2:$E$745,"=cogs_hosting",'ledger'!$G$2:$G$745,"jan26")</f>
        <v>0</v>
      </c>
      <c r="E18" s="4">
        <f>SUMIFS('ledger'!$F$2:$F$745,'ledger'!$C$2:$C$745,"=us",'ledger'!$D$2:$D$745,"=customer_success",'ledger'!$E$2:$E$745,"=cogs_hosting",'ledger'!$G$2:$G$745,"feb26")</f>
        <v>0</v>
      </c>
      <c r="F18" s="4">
        <f>SUMIFS('ledger'!$F$2:$F$745,'ledger'!$C$2:$C$745,"=us",'ledger'!$D$2:$D$745,"=customer_success",'ledger'!$E$2:$E$745,"=cogs_hosting",'ledger'!$G$2:$G$745,"mar26")</f>
        <v>0</v>
      </c>
      <c r="G18" s="4">
        <f>SUMIFS('ledger'!$F$2:$F$745,'ledger'!$C$2:$C$745,"=us",'ledger'!$D$2:$D$745,"=customer_success",'ledger'!$E$2:$E$745,"=cogs_hosting",'ledger'!$G$2:$G$745,"apr26")</f>
        <v>0</v>
      </c>
      <c r="H18" s="4">
        <f>SUMIFS('ledger'!$F$2:$F$745,'ledger'!$C$2:$C$745,"=us",'ledger'!$D$2:$D$745,"=customer_success",'ledger'!$E$2:$E$745,"=cogs_hosting",'ledger'!$G$2:$G$745,"may26")</f>
        <v>0</v>
      </c>
      <c r="I18" s="4">
        <f>SUMIFS('ledger'!$F$2:$F$745,'ledger'!$C$2:$C$745,"=us",'ledger'!$D$2:$D$745,"=customer_success",'ledger'!$E$2:$E$745,"=cogs_hosting",'ledger'!$G$2:$G$745,"jun26")</f>
        <v>0</v>
      </c>
      <c r="J18" s="4">
        <f>SUMIFS('ledger'!$F$2:$F$745,'ledger'!$C$2:$C$745,"=us",'ledger'!$D$2:$D$745,"=customer_success",'ledger'!$E$2:$E$745,"=cogs_hosting",'ledger'!$G$2:$G$745,"jul26")</f>
        <v>0</v>
      </c>
      <c r="K18" s="4">
        <f>SUMIFS('ledger'!$F$2:$F$745,'ledger'!$C$2:$C$745,"=us",'ledger'!$D$2:$D$745,"=customer_success",'ledger'!$E$2:$E$745,"=cogs_hosting",'ledger'!$G$2:$G$745,"aug26")</f>
        <v>0</v>
      </c>
      <c r="L18" s="4">
        <f>(K18*(1+'Forecast drivers'!J9))</f>
        <v>0</v>
      </c>
      <c r="M18" s="4">
        <f>(L18*(1+'Forecast drivers'!K9))</f>
        <v>0</v>
      </c>
      <c r="N18" s="4">
        <f>(M18*(1+'Forecast drivers'!L9))</f>
        <v>0</v>
      </c>
      <c r="O18" s="4">
        <f>(N18*(1+'Forecast drivers'!M9))</f>
        <v>0</v>
      </c>
    </row>
    <row r="19">
      <c r="A19" s="0" t="inlineStr">
        <is>
          <t xml:space="preserve">Cost of revenue: hosting</t>
        </is>
      </c>
      <c r="B19" s="0" t="inlineStr">
        <is>
          <t xml:space="preserve">United States</t>
        </is>
      </c>
      <c r="C19" s="0" t="inlineStr">
        <is>
          <t xml:space="preserve">G&amp;A</t>
        </is>
      </c>
      <c r="D19" s="4">
        <f>SUMIFS('ledger'!$F$2:$F$745,'ledger'!$C$2:$C$745,"=us",'ledger'!$D$2:$D$745,"=g_and_a",'ledger'!$E$2:$E$745,"=cogs_hosting",'ledger'!$G$2:$G$745,"jan26")</f>
        <v>0</v>
      </c>
      <c r="E19" s="4">
        <f>SUMIFS('ledger'!$F$2:$F$745,'ledger'!$C$2:$C$745,"=us",'ledger'!$D$2:$D$745,"=g_and_a",'ledger'!$E$2:$E$745,"=cogs_hosting",'ledger'!$G$2:$G$745,"feb26")</f>
        <v>0</v>
      </c>
      <c r="F19" s="4">
        <f>SUMIFS('ledger'!$F$2:$F$745,'ledger'!$C$2:$C$745,"=us",'ledger'!$D$2:$D$745,"=g_and_a",'ledger'!$E$2:$E$745,"=cogs_hosting",'ledger'!$G$2:$G$745,"mar26")</f>
        <v>0</v>
      </c>
      <c r="G19" s="4">
        <f>SUMIFS('ledger'!$F$2:$F$745,'ledger'!$C$2:$C$745,"=us",'ledger'!$D$2:$D$745,"=g_and_a",'ledger'!$E$2:$E$745,"=cogs_hosting",'ledger'!$G$2:$G$745,"apr26")</f>
        <v>0</v>
      </c>
      <c r="H19" s="4">
        <f>SUMIFS('ledger'!$F$2:$F$745,'ledger'!$C$2:$C$745,"=us",'ledger'!$D$2:$D$745,"=g_and_a",'ledger'!$E$2:$E$745,"=cogs_hosting",'ledger'!$G$2:$G$745,"may26")</f>
        <v>0</v>
      </c>
      <c r="I19" s="4">
        <f>SUMIFS('ledger'!$F$2:$F$745,'ledger'!$C$2:$C$745,"=us",'ledger'!$D$2:$D$745,"=g_and_a",'ledger'!$E$2:$E$745,"=cogs_hosting",'ledger'!$G$2:$G$745,"jun26")</f>
        <v>0</v>
      </c>
      <c r="J19" s="4">
        <f>SUMIFS('ledger'!$F$2:$F$745,'ledger'!$C$2:$C$745,"=us",'ledger'!$D$2:$D$745,"=g_and_a",'ledger'!$E$2:$E$745,"=cogs_hosting",'ledger'!$G$2:$G$745,"jul26")</f>
        <v>0</v>
      </c>
      <c r="K19" s="4">
        <f>SUMIFS('ledger'!$F$2:$F$745,'ledger'!$C$2:$C$745,"=us",'ledger'!$D$2:$D$745,"=g_and_a",'ledger'!$E$2:$E$745,"=cogs_hosting",'ledger'!$G$2:$G$745,"aug26")</f>
        <v>0</v>
      </c>
      <c r="L19" s="4">
        <f>(K19*(1+'Forecast drivers'!J9))</f>
        <v>0</v>
      </c>
      <c r="M19" s="4">
        <f>(L19*(1+'Forecast drivers'!K9))</f>
        <v>0</v>
      </c>
      <c r="N19" s="4">
        <f>(M19*(1+'Forecast drivers'!L9))</f>
        <v>0</v>
      </c>
      <c r="O19" s="4">
        <f>(N19*(1+'Forecast drivers'!M9))</f>
        <v>0</v>
      </c>
    </row>
    <row r="20">
      <c r="A20" s="0" t="inlineStr">
        <is>
          <t xml:space="preserve">Cost of revenue: hosting</t>
        </is>
      </c>
      <c r="B20" s="0" t="inlineStr">
        <is>
          <t xml:space="preserve">United Kingdom</t>
        </is>
      </c>
      <c r="C20" s="0" t="inlineStr">
        <is>
          <t xml:space="preserve">Company (revenue and cost of revenue)</t>
        </is>
      </c>
      <c r="D20" s="8">
        <f>SUMIFS('ledger'!$F$2:$F$745,'ledger'!$C$2:$C$745,"=uk",'ledger'!$D$2:$D$745,"=company",'ledger'!$E$2:$E$745,"=cogs_hosting",'ledger'!$G$2:$G$745,"jan26")</f>
        <v>-200777</v>
      </c>
      <c r="E20" s="8">
        <f>SUMIFS('ledger'!$F$2:$F$745,'ledger'!$C$2:$C$745,"=uk",'ledger'!$D$2:$D$745,"=company",'ledger'!$E$2:$E$745,"=cogs_hosting",'ledger'!$G$2:$G$745,"feb26")</f>
        <v>-201080</v>
      </c>
      <c r="F20" s="8">
        <f>SUMIFS('ledger'!$F$2:$F$745,'ledger'!$C$2:$C$745,"=uk",'ledger'!$D$2:$D$745,"=company",'ledger'!$E$2:$E$745,"=cogs_hosting",'ledger'!$G$2:$G$745,"mar26")</f>
        <v>-230118</v>
      </c>
      <c r="G20" s="8">
        <f>SUMIFS('ledger'!$F$2:$F$745,'ledger'!$C$2:$C$745,"=uk",'ledger'!$D$2:$D$745,"=company",'ledger'!$E$2:$E$745,"=cogs_hosting",'ledger'!$G$2:$G$745,"apr26")</f>
        <v>-217059</v>
      </c>
      <c r="H20" s="8">
        <f>SUMIFS('ledger'!$F$2:$F$745,'ledger'!$C$2:$C$745,"=uk",'ledger'!$D$2:$D$745,"=company",'ledger'!$E$2:$E$745,"=cogs_hosting",'ledger'!$G$2:$G$745,"may26")</f>
        <v>-219426</v>
      </c>
      <c r="I20" s="8">
        <f>SUMIFS('ledger'!$F$2:$F$745,'ledger'!$C$2:$C$745,"=uk",'ledger'!$D$2:$D$745,"=company",'ledger'!$E$2:$E$745,"=cogs_hosting",'ledger'!$G$2:$G$745,"jun26")</f>
        <v>-226989</v>
      </c>
      <c r="J20" s="8">
        <f>SUMIFS('ledger'!$F$2:$F$745,'ledger'!$C$2:$C$745,"=uk",'ledger'!$D$2:$D$745,"=company",'ledger'!$E$2:$E$745,"=cogs_hosting",'ledger'!$G$2:$G$745,"jul26")</f>
        <v>-233588</v>
      </c>
      <c r="K20" s="8">
        <f>SUMIFS('ledger'!$F$2:$F$745,'ledger'!$C$2:$C$745,"=uk",'ledger'!$D$2:$D$745,"=company",'ledger'!$E$2:$E$745,"=cogs_hosting",'ledger'!$G$2:$G$745,"aug26")</f>
        <v>-243854</v>
      </c>
      <c r="L20" s="8">
        <f>(-(L8)*'Forecast drivers'!J3)</f>
        <v>-233696.21885799998</v>
      </c>
      <c r="M20" s="8">
        <f>(-(M8)*'Forecast drivers'!K3)</f>
        <v>-238136.44701630194</v>
      </c>
      <c r="N20" s="8">
        <f>(-(N8)*'Forecast drivers'!L3)</f>
        <v>-242661.03950961167</v>
      </c>
      <c r="O20" s="8">
        <f>(-(O8)*'Forecast drivers'!M3)</f>
        <v>-247271.59926029426</v>
      </c>
    </row>
    <row r="21">
      <c r="A21" s="0" t="inlineStr">
        <is>
          <t xml:space="preserve">Cost of revenue: hosting</t>
        </is>
      </c>
      <c r="B21" s="0" t="inlineStr">
        <is>
          <t xml:space="preserve">United Kingdom</t>
        </is>
      </c>
      <c r="C21" s="0" t="inlineStr">
        <is>
          <t xml:space="preserve">Sales</t>
        </is>
      </c>
      <c r="D21" s="4">
        <f>SUMIFS('ledger'!$F$2:$F$745,'ledger'!$C$2:$C$745,"=uk",'ledger'!$D$2:$D$745,"=sales",'ledger'!$E$2:$E$745,"=cogs_hosting",'ledger'!$G$2:$G$745,"jan26")</f>
        <v>0</v>
      </c>
      <c r="E21" s="4">
        <f>SUMIFS('ledger'!$F$2:$F$745,'ledger'!$C$2:$C$745,"=uk",'ledger'!$D$2:$D$745,"=sales",'ledger'!$E$2:$E$745,"=cogs_hosting",'ledger'!$G$2:$G$745,"feb26")</f>
        <v>0</v>
      </c>
      <c r="F21" s="4">
        <f>SUMIFS('ledger'!$F$2:$F$745,'ledger'!$C$2:$C$745,"=uk",'ledger'!$D$2:$D$745,"=sales",'ledger'!$E$2:$E$745,"=cogs_hosting",'ledger'!$G$2:$G$745,"mar26")</f>
        <v>0</v>
      </c>
      <c r="G21" s="4">
        <f>SUMIFS('ledger'!$F$2:$F$745,'ledger'!$C$2:$C$745,"=uk",'ledger'!$D$2:$D$745,"=sales",'ledger'!$E$2:$E$745,"=cogs_hosting",'ledger'!$G$2:$G$745,"apr26")</f>
        <v>0</v>
      </c>
      <c r="H21" s="4">
        <f>SUMIFS('ledger'!$F$2:$F$745,'ledger'!$C$2:$C$745,"=uk",'ledger'!$D$2:$D$745,"=sales",'ledger'!$E$2:$E$745,"=cogs_hosting",'ledger'!$G$2:$G$745,"may26")</f>
        <v>0</v>
      </c>
      <c r="I21" s="4">
        <f>SUMIFS('ledger'!$F$2:$F$745,'ledger'!$C$2:$C$745,"=uk",'ledger'!$D$2:$D$745,"=sales",'ledger'!$E$2:$E$745,"=cogs_hosting",'ledger'!$G$2:$G$745,"jun26")</f>
        <v>0</v>
      </c>
      <c r="J21" s="4">
        <f>SUMIFS('ledger'!$F$2:$F$745,'ledger'!$C$2:$C$745,"=uk",'ledger'!$D$2:$D$745,"=sales",'ledger'!$E$2:$E$745,"=cogs_hosting",'ledger'!$G$2:$G$745,"jul26")</f>
        <v>0</v>
      </c>
      <c r="K21" s="4">
        <f>SUMIFS('ledger'!$F$2:$F$745,'ledger'!$C$2:$C$745,"=uk",'ledger'!$D$2:$D$745,"=sales",'ledger'!$E$2:$E$745,"=cogs_hosting",'ledger'!$G$2:$G$745,"aug26")</f>
        <v>0</v>
      </c>
      <c r="L21" s="4">
        <f>(K21*(1+'Forecast drivers'!J9))</f>
        <v>0</v>
      </c>
      <c r="M21" s="4">
        <f>(L21*(1+'Forecast drivers'!K9))</f>
        <v>0</v>
      </c>
      <c r="N21" s="4">
        <f>(M21*(1+'Forecast drivers'!L9))</f>
        <v>0</v>
      </c>
      <c r="O21" s="4">
        <f>(N21*(1+'Forecast drivers'!M9))</f>
        <v>0</v>
      </c>
    </row>
    <row r="22">
      <c r="A22" s="0" t="inlineStr">
        <is>
          <t xml:space="preserve">Cost of revenue: hosting</t>
        </is>
      </c>
      <c r="B22" s="0" t="inlineStr">
        <is>
          <t xml:space="preserve">United Kingdom</t>
        </is>
      </c>
      <c r="C22" s="0" t="inlineStr">
        <is>
          <t xml:space="preserve">Marketing</t>
        </is>
      </c>
      <c r="D22" s="4">
        <f>SUMIFS('ledger'!$F$2:$F$745,'ledger'!$C$2:$C$745,"=uk",'ledger'!$D$2:$D$745,"=marketing",'ledger'!$E$2:$E$745,"=cogs_hosting",'ledger'!$G$2:$G$745,"jan26")</f>
        <v>0</v>
      </c>
      <c r="E22" s="4">
        <f>SUMIFS('ledger'!$F$2:$F$745,'ledger'!$C$2:$C$745,"=uk",'ledger'!$D$2:$D$745,"=marketing",'ledger'!$E$2:$E$745,"=cogs_hosting",'ledger'!$G$2:$G$745,"feb26")</f>
        <v>0</v>
      </c>
      <c r="F22" s="4">
        <f>SUMIFS('ledger'!$F$2:$F$745,'ledger'!$C$2:$C$745,"=uk",'ledger'!$D$2:$D$745,"=marketing",'ledger'!$E$2:$E$745,"=cogs_hosting",'ledger'!$G$2:$G$745,"mar26")</f>
        <v>0</v>
      </c>
      <c r="G22" s="4">
        <f>SUMIFS('ledger'!$F$2:$F$745,'ledger'!$C$2:$C$745,"=uk",'ledger'!$D$2:$D$745,"=marketing",'ledger'!$E$2:$E$745,"=cogs_hosting",'ledger'!$G$2:$G$745,"apr26")</f>
        <v>0</v>
      </c>
      <c r="H22" s="4">
        <f>SUMIFS('ledger'!$F$2:$F$745,'ledger'!$C$2:$C$745,"=uk",'ledger'!$D$2:$D$745,"=marketing",'ledger'!$E$2:$E$745,"=cogs_hosting",'ledger'!$G$2:$G$745,"may26")</f>
        <v>0</v>
      </c>
      <c r="I22" s="4">
        <f>SUMIFS('ledger'!$F$2:$F$745,'ledger'!$C$2:$C$745,"=uk",'ledger'!$D$2:$D$745,"=marketing",'ledger'!$E$2:$E$745,"=cogs_hosting",'ledger'!$G$2:$G$745,"jun26")</f>
        <v>0</v>
      </c>
      <c r="J22" s="4">
        <f>SUMIFS('ledger'!$F$2:$F$745,'ledger'!$C$2:$C$745,"=uk",'ledger'!$D$2:$D$745,"=marketing",'ledger'!$E$2:$E$745,"=cogs_hosting",'ledger'!$G$2:$G$745,"jul26")</f>
        <v>0</v>
      </c>
      <c r="K22" s="4">
        <f>SUMIFS('ledger'!$F$2:$F$745,'ledger'!$C$2:$C$745,"=uk",'ledger'!$D$2:$D$745,"=marketing",'ledger'!$E$2:$E$745,"=cogs_hosting",'ledger'!$G$2:$G$745,"aug26")</f>
        <v>0</v>
      </c>
      <c r="L22" s="4">
        <f>(K22*(1+'Forecast drivers'!J9))</f>
        <v>0</v>
      </c>
      <c r="M22" s="4">
        <f>(L22*(1+'Forecast drivers'!K9))</f>
        <v>0</v>
      </c>
      <c r="N22" s="4">
        <f>(M22*(1+'Forecast drivers'!L9))</f>
        <v>0</v>
      </c>
      <c r="O22" s="4">
        <f>(N22*(1+'Forecast drivers'!M9))</f>
        <v>0</v>
      </c>
    </row>
    <row r="23">
      <c r="A23" s="0" t="inlineStr">
        <is>
          <t xml:space="preserve">Cost of revenue: hosting</t>
        </is>
      </c>
      <c r="B23" s="0" t="inlineStr">
        <is>
          <t xml:space="preserve">United Kingdom</t>
        </is>
      </c>
      <c r="C23" s="0" t="inlineStr">
        <is>
          <t xml:space="preserve">Engineering</t>
        </is>
      </c>
      <c r="D23" s="4">
        <f>SUMIFS('ledger'!$F$2:$F$745,'ledger'!$C$2:$C$745,"=uk",'ledger'!$D$2:$D$745,"=engineering",'ledger'!$E$2:$E$745,"=cogs_hosting",'ledger'!$G$2:$G$745,"jan26")</f>
        <v>0</v>
      </c>
      <c r="E23" s="4">
        <f>SUMIFS('ledger'!$F$2:$F$745,'ledger'!$C$2:$C$745,"=uk",'ledger'!$D$2:$D$745,"=engineering",'ledger'!$E$2:$E$745,"=cogs_hosting",'ledger'!$G$2:$G$745,"feb26")</f>
        <v>0</v>
      </c>
      <c r="F23" s="4">
        <f>SUMIFS('ledger'!$F$2:$F$745,'ledger'!$C$2:$C$745,"=uk",'ledger'!$D$2:$D$745,"=engineering",'ledger'!$E$2:$E$745,"=cogs_hosting",'ledger'!$G$2:$G$745,"mar26")</f>
        <v>0</v>
      </c>
      <c r="G23" s="4">
        <f>SUMIFS('ledger'!$F$2:$F$745,'ledger'!$C$2:$C$745,"=uk",'ledger'!$D$2:$D$745,"=engineering",'ledger'!$E$2:$E$745,"=cogs_hosting",'ledger'!$G$2:$G$745,"apr26")</f>
        <v>0</v>
      </c>
      <c r="H23" s="4">
        <f>SUMIFS('ledger'!$F$2:$F$745,'ledger'!$C$2:$C$745,"=uk",'ledger'!$D$2:$D$745,"=engineering",'ledger'!$E$2:$E$745,"=cogs_hosting",'ledger'!$G$2:$G$745,"may26")</f>
        <v>0</v>
      </c>
      <c r="I23" s="4">
        <f>SUMIFS('ledger'!$F$2:$F$745,'ledger'!$C$2:$C$745,"=uk",'ledger'!$D$2:$D$745,"=engineering",'ledger'!$E$2:$E$745,"=cogs_hosting",'ledger'!$G$2:$G$745,"jun26")</f>
        <v>0</v>
      </c>
      <c r="J23" s="4">
        <f>SUMIFS('ledger'!$F$2:$F$745,'ledger'!$C$2:$C$745,"=uk",'ledger'!$D$2:$D$745,"=engineering",'ledger'!$E$2:$E$745,"=cogs_hosting",'ledger'!$G$2:$G$745,"jul26")</f>
        <v>0</v>
      </c>
      <c r="K23" s="4">
        <f>SUMIFS('ledger'!$F$2:$F$745,'ledger'!$C$2:$C$745,"=uk",'ledger'!$D$2:$D$745,"=engineering",'ledger'!$E$2:$E$745,"=cogs_hosting",'ledger'!$G$2:$G$745,"aug26")</f>
        <v>0</v>
      </c>
      <c r="L23" s="4">
        <f>(K23*(1+'Forecast drivers'!J9))</f>
        <v>0</v>
      </c>
      <c r="M23" s="4">
        <f>(L23*(1+'Forecast drivers'!K9))</f>
        <v>0</v>
      </c>
      <c r="N23" s="4">
        <f>(M23*(1+'Forecast drivers'!L9))</f>
        <v>0</v>
      </c>
      <c r="O23" s="4">
        <f>(N23*(1+'Forecast drivers'!M9))</f>
        <v>0</v>
      </c>
    </row>
    <row r="24">
      <c r="A24" s="0" t="inlineStr">
        <is>
          <t xml:space="preserve">Cost of revenue: hosting</t>
        </is>
      </c>
      <c r="B24" s="0" t="inlineStr">
        <is>
          <t xml:space="preserve">United Kingdom</t>
        </is>
      </c>
      <c r="C24" s="0" t="inlineStr">
        <is>
          <t xml:space="preserve">Customer success</t>
        </is>
      </c>
      <c r="D24" s="4">
        <f>SUMIFS('ledger'!$F$2:$F$745,'ledger'!$C$2:$C$745,"=uk",'ledger'!$D$2:$D$745,"=customer_success",'ledger'!$E$2:$E$745,"=cogs_hosting",'ledger'!$G$2:$G$745,"jan26")</f>
        <v>0</v>
      </c>
      <c r="E24" s="4">
        <f>SUMIFS('ledger'!$F$2:$F$745,'ledger'!$C$2:$C$745,"=uk",'ledger'!$D$2:$D$745,"=customer_success",'ledger'!$E$2:$E$745,"=cogs_hosting",'ledger'!$G$2:$G$745,"feb26")</f>
        <v>0</v>
      </c>
      <c r="F24" s="4">
        <f>SUMIFS('ledger'!$F$2:$F$745,'ledger'!$C$2:$C$745,"=uk",'ledger'!$D$2:$D$745,"=customer_success",'ledger'!$E$2:$E$745,"=cogs_hosting",'ledger'!$G$2:$G$745,"mar26")</f>
        <v>0</v>
      </c>
      <c r="G24" s="4">
        <f>SUMIFS('ledger'!$F$2:$F$745,'ledger'!$C$2:$C$745,"=uk",'ledger'!$D$2:$D$745,"=customer_success",'ledger'!$E$2:$E$745,"=cogs_hosting",'ledger'!$G$2:$G$745,"apr26")</f>
        <v>0</v>
      </c>
      <c r="H24" s="4">
        <f>SUMIFS('ledger'!$F$2:$F$745,'ledger'!$C$2:$C$745,"=uk",'ledger'!$D$2:$D$745,"=customer_success",'ledger'!$E$2:$E$745,"=cogs_hosting",'ledger'!$G$2:$G$745,"may26")</f>
        <v>0</v>
      </c>
      <c r="I24" s="4">
        <f>SUMIFS('ledger'!$F$2:$F$745,'ledger'!$C$2:$C$745,"=uk",'ledger'!$D$2:$D$745,"=customer_success",'ledger'!$E$2:$E$745,"=cogs_hosting",'ledger'!$G$2:$G$745,"jun26")</f>
        <v>0</v>
      </c>
      <c r="J24" s="4">
        <f>SUMIFS('ledger'!$F$2:$F$745,'ledger'!$C$2:$C$745,"=uk",'ledger'!$D$2:$D$745,"=customer_success",'ledger'!$E$2:$E$745,"=cogs_hosting",'ledger'!$G$2:$G$745,"jul26")</f>
        <v>0</v>
      </c>
      <c r="K24" s="4">
        <f>SUMIFS('ledger'!$F$2:$F$745,'ledger'!$C$2:$C$745,"=uk",'ledger'!$D$2:$D$745,"=customer_success",'ledger'!$E$2:$E$745,"=cogs_hosting",'ledger'!$G$2:$G$745,"aug26")</f>
        <v>0</v>
      </c>
      <c r="L24" s="4">
        <f>(K24*(1+'Forecast drivers'!J9))</f>
        <v>0</v>
      </c>
      <c r="M24" s="4">
        <f>(L24*(1+'Forecast drivers'!K9))</f>
        <v>0</v>
      </c>
      <c r="N24" s="4">
        <f>(M24*(1+'Forecast drivers'!L9))</f>
        <v>0</v>
      </c>
      <c r="O24" s="4">
        <f>(N24*(1+'Forecast drivers'!M9))</f>
        <v>0</v>
      </c>
    </row>
    <row r="25">
      <c r="A25" s="0" t="inlineStr">
        <is>
          <t xml:space="preserve">Cost of revenue: hosting</t>
        </is>
      </c>
      <c r="B25" s="0" t="inlineStr">
        <is>
          <t xml:space="preserve">United Kingdom</t>
        </is>
      </c>
      <c r="C25" s="0" t="inlineStr">
        <is>
          <t xml:space="preserve">G&amp;A</t>
        </is>
      </c>
      <c r="D25" s="4">
        <f>SUMIFS('ledger'!$F$2:$F$745,'ledger'!$C$2:$C$745,"=uk",'ledger'!$D$2:$D$745,"=g_and_a",'ledger'!$E$2:$E$745,"=cogs_hosting",'ledger'!$G$2:$G$745,"jan26")</f>
        <v>0</v>
      </c>
      <c r="E25" s="4">
        <f>SUMIFS('ledger'!$F$2:$F$745,'ledger'!$C$2:$C$745,"=uk",'ledger'!$D$2:$D$745,"=g_and_a",'ledger'!$E$2:$E$745,"=cogs_hosting",'ledger'!$G$2:$G$745,"feb26")</f>
        <v>0</v>
      </c>
      <c r="F25" s="4">
        <f>SUMIFS('ledger'!$F$2:$F$745,'ledger'!$C$2:$C$745,"=uk",'ledger'!$D$2:$D$745,"=g_and_a",'ledger'!$E$2:$E$745,"=cogs_hosting",'ledger'!$G$2:$G$745,"mar26")</f>
        <v>0</v>
      </c>
      <c r="G25" s="4">
        <f>SUMIFS('ledger'!$F$2:$F$745,'ledger'!$C$2:$C$745,"=uk",'ledger'!$D$2:$D$745,"=g_and_a",'ledger'!$E$2:$E$745,"=cogs_hosting",'ledger'!$G$2:$G$745,"apr26")</f>
        <v>0</v>
      </c>
      <c r="H25" s="4">
        <f>SUMIFS('ledger'!$F$2:$F$745,'ledger'!$C$2:$C$745,"=uk",'ledger'!$D$2:$D$745,"=g_and_a",'ledger'!$E$2:$E$745,"=cogs_hosting",'ledger'!$G$2:$G$745,"may26")</f>
        <v>0</v>
      </c>
      <c r="I25" s="4">
        <f>SUMIFS('ledger'!$F$2:$F$745,'ledger'!$C$2:$C$745,"=uk",'ledger'!$D$2:$D$745,"=g_and_a",'ledger'!$E$2:$E$745,"=cogs_hosting",'ledger'!$G$2:$G$745,"jun26")</f>
        <v>0</v>
      </c>
      <c r="J25" s="4">
        <f>SUMIFS('ledger'!$F$2:$F$745,'ledger'!$C$2:$C$745,"=uk",'ledger'!$D$2:$D$745,"=g_and_a",'ledger'!$E$2:$E$745,"=cogs_hosting",'ledger'!$G$2:$G$745,"jul26")</f>
        <v>0</v>
      </c>
      <c r="K25" s="4">
        <f>SUMIFS('ledger'!$F$2:$F$745,'ledger'!$C$2:$C$745,"=uk",'ledger'!$D$2:$D$745,"=g_and_a",'ledger'!$E$2:$E$745,"=cogs_hosting",'ledger'!$G$2:$G$745,"aug26")</f>
        <v>0</v>
      </c>
      <c r="L25" s="4">
        <f>(K25*(1+'Forecast drivers'!J9))</f>
        <v>0</v>
      </c>
      <c r="M25" s="4">
        <f>(L25*(1+'Forecast drivers'!K9))</f>
        <v>0</v>
      </c>
      <c r="N25" s="4">
        <f>(M25*(1+'Forecast drivers'!L9))</f>
        <v>0</v>
      </c>
      <c r="O25" s="4">
        <f>(N25*(1+'Forecast drivers'!M9))</f>
        <v>0</v>
      </c>
    </row>
    <row r="26">
      <c r="A26" s="0" t="inlineStr">
        <is>
          <t xml:space="preserve">Cost of revenue: support</t>
        </is>
      </c>
      <c r="B26" s="0" t="inlineStr">
        <is>
          <t xml:space="preserve">United States</t>
        </is>
      </c>
      <c r="C26" s="0" t="inlineStr">
        <is>
          <t xml:space="preserve">Company (revenue and cost of revenue)</t>
        </is>
      </c>
      <c r="D26" s="8">
        <f>SUMIFS('ledger'!$F$2:$F$745,'ledger'!$C$2:$C$745,"=us",'ledger'!$D$2:$D$745,"=company",'ledger'!$E$2:$E$745,"=cogs_support",'ledger'!$G$2:$G$745,"jan26")</f>
        <v>-206198</v>
      </c>
      <c r="E26" s="8">
        <f>SUMIFS('ledger'!$F$2:$F$745,'ledger'!$C$2:$C$745,"=us",'ledger'!$D$2:$D$745,"=company",'ledger'!$E$2:$E$745,"=cogs_support",'ledger'!$G$2:$G$745,"feb26")</f>
        <v>-195633</v>
      </c>
      <c r="F26" s="8">
        <f>SUMIFS('ledger'!$F$2:$F$745,'ledger'!$C$2:$C$745,"=us",'ledger'!$D$2:$D$745,"=company",'ledger'!$E$2:$E$745,"=cogs_support",'ledger'!$G$2:$G$745,"mar26")</f>
        <v>-215884</v>
      </c>
      <c r="G26" s="8">
        <f>SUMIFS('ledger'!$F$2:$F$745,'ledger'!$C$2:$C$745,"=us",'ledger'!$D$2:$D$745,"=company",'ledger'!$E$2:$E$745,"=cogs_support",'ledger'!$G$2:$G$745,"apr26")</f>
        <v>-233719</v>
      </c>
      <c r="H26" s="8">
        <f>SUMIFS('ledger'!$F$2:$F$745,'ledger'!$C$2:$C$745,"=us",'ledger'!$D$2:$D$745,"=company",'ledger'!$E$2:$E$745,"=cogs_support",'ledger'!$G$2:$G$745,"may26")</f>
        <v>-235669</v>
      </c>
      <c r="I26" s="8">
        <f>SUMIFS('ledger'!$F$2:$F$745,'ledger'!$C$2:$C$745,"=us",'ledger'!$D$2:$D$745,"=company",'ledger'!$E$2:$E$745,"=cogs_support",'ledger'!$G$2:$G$745,"jun26")</f>
        <v>-231642</v>
      </c>
      <c r="J26" s="8">
        <f>SUMIFS('ledger'!$F$2:$F$745,'ledger'!$C$2:$C$745,"=us",'ledger'!$D$2:$D$745,"=company",'ledger'!$E$2:$E$745,"=cogs_support",'ledger'!$G$2:$G$745,"jul26")</f>
        <v>-231061</v>
      </c>
      <c r="K26" s="8">
        <f>SUMIFS('ledger'!$F$2:$F$745,'ledger'!$C$2:$C$745,"=us",'ledger'!$D$2:$D$745,"=company",'ledger'!$E$2:$E$745,"=cogs_support",'ledger'!$G$2:$G$745,"aug26")</f>
        <v>-242311</v>
      </c>
      <c r="L26" s="8">
        <f>(-(L2)*'Forecast drivers'!J4)</f>
        <v>-236149.05885299997</v>
      </c>
      <c r="M26" s="8">
        <f>(-(M2)*'Forecast drivers'!K4)</f>
        <v>-240635.89097120697</v>
      </c>
      <c r="N26" s="8">
        <f>(-(N2)*'Forecast drivers'!L4)</f>
        <v>-245207.97289965986</v>
      </c>
      <c r="O26" s="8">
        <f>(-(O2)*'Forecast drivers'!M4)</f>
        <v>-249866.92438475337</v>
      </c>
    </row>
    <row r="27">
      <c r="A27" s="0" t="inlineStr">
        <is>
          <t xml:space="preserve">Cost of revenue: support</t>
        </is>
      </c>
      <c r="B27" s="0" t="inlineStr">
        <is>
          <t xml:space="preserve">United States</t>
        </is>
      </c>
      <c r="C27" s="0" t="inlineStr">
        <is>
          <t xml:space="preserve">Sales</t>
        </is>
      </c>
      <c r="D27" s="4">
        <f>SUMIFS('ledger'!$F$2:$F$745,'ledger'!$C$2:$C$745,"=us",'ledger'!$D$2:$D$745,"=sales",'ledger'!$E$2:$E$745,"=cogs_support",'ledger'!$G$2:$G$745,"jan26")</f>
        <v>0</v>
      </c>
      <c r="E27" s="4">
        <f>SUMIFS('ledger'!$F$2:$F$745,'ledger'!$C$2:$C$745,"=us",'ledger'!$D$2:$D$745,"=sales",'ledger'!$E$2:$E$745,"=cogs_support",'ledger'!$G$2:$G$745,"feb26")</f>
        <v>0</v>
      </c>
      <c r="F27" s="4">
        <f>SUMIFS('ledger'!$F$2:$F$745,'ledger'!$C$2:$C$745,"=us",'ledger'!$D$2:$D$745,"=sales",'ledger'!$E$2:$E$745,"=cogs_support",'ledger'!$G$2:$G$745,"mar26")</f>
        <v>0</v>
      </c>
      <c r="G27" s="4">
        <f>SUMIFS('ledger'!$F$2:$F$745,'ledger'!$C$2:$C$745,"=us",'ledger'!$D$2:$D$745,"=sales",'ledger'!$E$2:$E$745,"=cogs_support",'ledger'!$G$2:$G$745,"apr26")</f>
        <v>0</v>
      </c>
      <c r="H27" s="4">
        <f>SUMIFS('ledger'!$F$2:$F$745,'ledger'!$C$2:$C$745,"=us",'ledger'!$D$2:$D$745,"=sales",'ledger'!$E$2:$E$745,"=cogs_support",'ledger'!$G$2:$G$745,"may26")</f>
        <v>0</v>
      </c>
      <c r="I27" s="4">
        <f>SUMIFS('ledger'!$F$2:$F$745,'ledger'!$C$2:$C$745,"=us",'ledger'!$D$2:$D$745,"=sales",'ledger'!$E$2:$E$745,"=cogs_support",'ledger'!$G$2:$G$745,"jun26")</f>
        <v>0</v>
      </c>
      <c r="J27" s="4">
        <f>SUMIFS('ledger'!$F$2:$F$745,'ledger'!$C$2:$C$745,"=us",'ledger'!$D$2:$D$745,"=sales",'ledger'!$E$2:$E$745,"=cogs_support",'ledger'!$G$2:$G$745,"jul26")</f>
        <v>0</v>
      </c>
      <c r="K27" s="4">
        <f>SUMIFS('ledger'!$F$2:$F$745,'ledger'!$C$2:$C$745,"=us",'ledger'!$D$2:$D$745,"=sales",'ledger'!$E$2:$E$745,"=cogs_support",'ledger'!$G$2:$G$745,"aug26")</f>
        <v>0</v>
      </c>
      <c r="L27" s="4">
        <f>(K27*(1+'Forecast drivers'!J9))</f>
        <v>0</v>
      </c>
      <c r="M27" s="4">
        <f>(L27*(1+'Forecast drivers'!K9))</f>
        <v>0</v>
      </c>
      <c r="N27" s="4">
        <f>(M27*(1+'Forecast drivers'!L9))</f>
        <v>0</v>
      </c>
      <c r="O27" s="4">
        <f>(N27*(1+'Forecast drivers'!M9))</f>
        <v>0</v>
      </c>
    </row>
    <row r="28">
      <c r="A28" s="0" t="inlineStr">
        <is>
          <t xml:space="preserve">Cost of revenue: support</t>
        </is>
      </c>
      <c r="B28" s="0" t="inlineStr">
        <is>
          <t xml:space="preserve">United States</t>
        </is>
      </c>
      <c r="C28" s="0" t="inlineStr">
        <is>
          <t xml:space="preserve">Marketing</t>
        </is>
      </c>
      <c r="D28" s="4">
        <f>SUMIFS('ledger'!$F$2:$F$745,'ledger'!$C$2:$C$745,"=us",'ledger'!$D$2:$D$745,"=marketing",'ledger'!$E$2:$E$745,"=cogs_support",'ledger'!$G$2:$G$745,"jan26")</f>
        <v>0</v>
      </c>
      <c r="E28" s="4">
        <f>SUMIFS('ledger'!$F$2:$F$745,'ledger'!$C$2:$C$745,"=us",'ledger'!$D$2:$D$745,"=marketing",'ledger'!$E$2:$E$745,"=cogs_support",'ledger'!$G$2:$G$745,"feb26")</f>
        <v>0</v>
      </c>
      <c r="F28" s="4">
        <f>SUMIFS('ledger'!$F$2:$F$745,'ledger'!$C$2:$C$745,"=us",'ledger'!$D$2:$D$745,"=marketing",'ledger'!$E$2:$E$745,"=cogs_support",'ledger'!$G$2:$G$745,"mar26")</f>
        <v>0</v>
      </c>
      <c r="G28" s="4">
        <f>SUMIFS('ledger'!$F$2:$F$745,'ledger'!$C$2:$C$745,"=us",'ledger'!$D$2:$D$745,"=marketing",'ledger'!$E$2:$E$745,"=cogs_support",'ledger'!$G$2:$G$745,"apr26")</f>
        <v>0</v>
      </c>
      <c r="H28" s="4">
        <f>SUMIFS('ledger'!$F$2:$F$745,'ledger'!$C$2:$C$745,"=us",'ledger'!$D$2:$D$745,"=marketing",'ledger'!$E$2:$E$745,"=cogs_support",'ledger'!$G$2:$G$745,"may26")</f>
        <v>0</v>
      </c>
      <c r="I28" s="4">
        <f>SUMIFS('ledger'!$F$2:$F$745,'ledger'!$C$2:$C$745,"=us",'ledger'!$D$2:$D$745,"=marketing",'ledger'!$E$2:$E$745,"=cogs_support",'ledger'!$G$2:$G$745,"jun26")</f>
        <v>0</v>
      </c>
      <c r="J28" s="4">
        <f>SUMIFS('ledger'!$F$2:$F$745,'ledger'!$C$2:$C$745,"=us",'ledger'!$D$2:$D$745,"=marketing",'ledger'!$E$2:$E$745,"=cogs_support",'ledger'!$G$2:$G$745,"jul26")</f>
        <v>0</v>
      </c>
      <c r="K28" s="4">
        <f>SUMIFS('ledger'!$F$2:$F$745,'ledger'!$C$2:$C$745,"=us",'ledger'!$D$2:$D$745,"=marketing",'ledger'!$E$2:$E$745,"=cogs_support",'ledger'!$G$2:$G$745,"aug26")</f>
        <v>0</v>
      </c>
      <c r="L28" s="4">
        <f>(K28*(1+'Forecast drivers'!J9))</f>
        <v>0</v>
      </c>
      <c r="M28" s="4">
        <f>(L28*(1+'Forecast drivers'!K9))</f>
        <v>0</v>
      </c>
      <c r="N28" s="4">
        <f>(M28*(1+'Forecast drivers'!L9))</f>
        <v>0</v>
      </c>
      <c r="O28" s="4">
        <f>(N28*(1+'Forecast drivers'!M9))</f>
        <v>0</v>
      </c>
    </row>
    <row r="29">
      <c r="A29" s="0" t="inlineStr">
        <is>
          <t xml:space="preserve">Cost of revenue: support</t>
        </is>
      </c>
      <c r="B29" s="0" t="inlineStr">
        <is>
          <t xml:space="preserve">United States</t>
        </is>
      </c>
      <c r="C29" s="0" t="inlineStr">
        <is>
          <t xml:space="preserve">Engineering</t>
        </is>
      </c>
      <c r="D29" s="4">
        <f>SUMIFS('ledger'!$F$2:$F$745,'ledger'!$C$2:$C$745,"=us",'ledger'!$D$2:$D$745,"=engineering",'ledger'!$E$2:$E$745,"=cogs_support",'ledger'!$G$2:$G$745,"jan26")</f>
        <v>0</v>
      </c>
      <c r="E29" s="4">
        <f>SUMIFS('ledger'!$F$2:$F$745,'ledger'!$C$2:$C$745,"=us",'ledger'!$D$2:$D$745,"=engineering",'ledger'!$E$2:$E$745,"=cogs_support",'ledger'!$G$2:$G$745,"feb26")</f>
        <v>0</v>
      </c>
      <c r="F29" s="4">
        <f>SUMIFS('ledger'!$F$2:$F$745,'ledger'!$C$2:$C$745,"=us",'ledger'!$D$2:$D$745,"=engineering",'ledger'!$E$2:$E$745,"=cogs_support",'ledger'!$G$2:$G$745,"mar26")</f>
        <v>0</v>
      </c>
      <c r="G29" s="4">
        <f>SUMIFS('ledger'!$F$2:$F$745,'ledger'!$C$2:$C$745,"=us",'ledger'!$D$2:$D$745,"=engineering",'ledger'!$E$2:$E$745,"=cogs_support",'ledger'!$G$2:$G$745,"apr26")</f>
        <v>0</v>
      </c>
      <c r="H29" s="4">
        <f>SUMIFS('ledger'!$F$2:$F$745,'ledger'!$C$2:$C$745,"=us",'ledger'!$D$2:$D$745,"=engineering",'ledger'!$E$2:$E$745,"=cogs_support",'ledger'!$G$2:$G$745,"may26")</f>
        <v>0</v>
      </c>
      <c r="I29" s="4">
        <f>SUMIFS('ledger'!$F$2:$F$745,'ledger'!$C$2:$C$745,"=us",'ledger'!$D$2:$D$745,"=engineering",'ledger'!$E$2:$E$745,"=cogs_support",'ledger'!$G$2:$G$745,"jun26")</f>
        <v>0</v>
      </c>
      <c r="J29" s="4">
        <f>SUMIFS('ledger'!$F$2:$F$745,'ledger'!$C$2:$C$745,"=us",'ledger'!$D$2:$D$745,"=engineering",'ledger'!$E$2:$E$745,"=cogs_support",'ledger'!$G$2:$G$745,"jul26")</f>
        <v>0</v>
      </c>
      <c r="K29" s="4">
        <f>SUMIFS('ledger'!$F$2:$F$745,'ledger'!$C$2:$C$745,"=us",'ledger'!$D$2:$D$745,"=engineering",'ledger'!$E$2:$E$745,"=cogs_support",'ledger'!$G$2:$G$745,"aug26")</f>
        <v>0</v>
      </c>
      <c r="L29" s="4">
        <f>(K29*(1+'Forecast drivers'!J9))</f>
        <v>0</v>
      </c>
      <c r="M29" s="4">
        <f>(L29*(1+'Forecast drivers'!K9))</f>
        <v>0</v>
      </c>
      <c r="N29" s="4">
        <f>(M29*(1+'Forecast drivers'!L9))</f>
        <v>0</v>
      </c>
      <c r="O29" s="4">
        <f>(N29*(1+'Forecast drivers'!M9))</f>
        <v>0</v>
      </c>
    </row>
    <row r="30">
      <c r="A30" s="0" t="inlineStr">
        <is>
          <t xml:space="preserve">Cost of revenue: support</t>
        </is>
      </c>
      <c r="B30" s="0" t="inlineStr">
        <is>
          <t xml:space="preserve">United States</t>
        </is>
      </c>
      <c r="C30" s="0" t="inlineStr">
        <is>
          <t xml:space="preserve">Customer success</t>
        </is>
      </c>
      <c r="D30" s="4">
        <f>SUMIFS('ledger'!$F$2:$F$745,'ledger'!$C$2:$C$745,"=us",'ledger'!$D$2:$D$745,"=customer_success",'ledger'!$E$2:$E$745,"=cogs_support",'ledger'!$G$2:$G$745,"jan26")</f>
        <v>0</v>
      </c>
      <c r="E30" s="4">
        <f>SUMIFS('ledger'!$F$2:$F$745,'ledger'!$C$2:$C$745,"=us",'ledger'!$D$2:$D$745,"=customer_success",'ledger'!$E$2:$E$745,"=cogs_support",'ledger'!$G$2:$G$745,"feb26")</f>
        <v>0</v>
      </c>
      <c r="F30" s="4">
        <f>SUMIFS('ledger'!$F$2:$F$745,'ledger'!$C$2:$C$745,"=us",'ledger'!$D$2:$D$745,"=customer_success",'ledger'!$E$2:$E$745,"=cogs_support",'ledger'!$G$2:$G$745,"mar26")</f>
        <v>0</v>
      </c>
      <c r="G30" s="4">
        <f>SUMIFS('ledger'!$F$2:$F$745,'ledger'!$C$2:$C$745,"=us",'ledger'!$D$2:$D$745,"=customer_success",'ledger'!$E$2:$E$745,"=cogs_support",'ledger'!$G$2:$G$745,"apr26")</f>
        <v>0</v>
      </c>
      <c r="H30" s="4">
        <f>SUMIFS('ledger'!$F$2:$F$745,'ledger'!$C$2:$C$745,"=us",'ledger'!$D$2:$D$745,"=customer_success",'ledger'!$E$2:$E$745,"=cogs_support",'ledger'!$G$2:$G$745,"may26")</f>
        <v>0</v>
      </c>
      <c r="I30" s="4">
        <f>SUMIFS('ledger'!$F$2:$F$745,'ledger'!$C$2:$C$745,"=us",'ledger'!$D$2:$D$745,"=customer_success",'ledger'!$E$2:$E$745,"=cogs_support",'ledger'!$G$2:$G$745,"jun26")</f>
        <v>0</v>
      </c>
      <c r="J30" s="4">
        <f>SUMIFS('ledger'!$F$2:$F$745,'ledger'!$C$2:$C$745,"=us",'ledger'!$D$2:$D$745,"=customer_success",'ledger'!$E$2:$E$745,"=cogs_support",'ledger'!$G$2:$G$745,"jul26")</f>
        <v>0</v>
      </c>
      <c r="K30" s="4">
        <f>SUMIFS('ledger'!$F$2:$F$745,'ledger'!$C$2:$C$745,"=us",'ledger'!$D$2:$D$745,"=customer_success",'ledger'!$E$2:$E$745,"=cogs_support",'ledger'!$G$2:$G$745,"aug26")</f>
        <v>0</v>
      </c>
      <c r="L30" s="4">
        <f>(K30*(1+'Forecast drivers'!J9))</f>
        <v>0</v>
      </c>
      <c r="M30" s="4">
        <f>(L30*(1+'Forecast drivers'!K9))</f>
        <v>0</v>
      </c>
      <c r="N30" s="4">
        <f>(M30*(1+'Forecast drivers'!L9))</f>
        <v>0</v>
      </c>
      <c r="O30" s="4">
        <f>(N30*(1+'Forecast drivers'!M9))</f>
        <v>0</v>
      </c>
    </row>
    <row r="31">
      <c r="A31" s="0" t="inlineStr">
        <is>
          <t xml:space="preserve">Cost of revenue: support</t>
        </is>
      </c>
      <c r="B31" s="0" t="inlineStr">
        <is>
          <t xml:space="preserve">United States</t>
        </is>
      </c>
      <c r="C31" s="0" t="inlineStr">
        <is>
          <t xml:space="preserve">G&amp;A</t>
        </is>
      </c>
      <c r="D31" s="4">
        <f>SUMIFS('ledger'!$F$2:$F$745,'ledger'!$C$2:$C$745,"=us",'ledger'!$D$2:$D$745,"=g_and_a",'ledger'!$E$2:$E$745,"=cogs_support",'ledger'!$G$2:$G$745,"jan26")</f>
        <v>0</v>
      </c>
      <c r="E31" s="4">
        <f>SUMIFS('ledger'!$F$2:$F$745,'ledger'!$C$2:$C$745,"=us",'ledger'!$D$2:$D$745,"=g_and_a",'ledger'!$E$2:$E$745,"=cogs_support",'ledger'!$G$2:$G$745,"feb26")</f>
        <v>0</v>
      </c>
      <c r="F31" s="4">
        <f>SUMIFS('ledger'!$F$2:$F$745,'ledger'!$C$2:$C$745,"=us",'ledger'!$D$2:$D$745,"=g_and_a",'ledger'!$E$2:$E$745,"=cogs_support",'ledger'!$G$2:$G$745,"mar26")</f>
        <v>0</v>
      </c>
      <c r="G31" s="4">
        <f>SUMIFS('ledger'!$F$2:$F$745,'ledger'!$C$2:$C$745,"=us",'ledger'!$D$2:$D$745,"=g_and_a",'ledger'!$E$2:$E$745,"=cogs_support",'ledger'!$G$2:$G$745,"apr26")</f>
        <v>0</v>
      </c>
      <c r="H31" s="4">
        <f>SUMIFS('ledger'!$F$2:$F$745,'ledger'!$C$2:$C$745,"=us",'ledger'!$D$2:$D$745,"=g_and_a",'ledger'!$E$2:$E$745,"=cogs_support",'ledger'!$G$2:$G$745,"may26")</f>
        <v>0</v>
      </c>
      <c r="I31" s="4">
        <f>SUMIFS('ledger'!$F$2:$F$745,'ledger'!$C$2:$C$745,"=us",'ledger'!$D$2:$D$745,"=g_and_a",'ledger'!$E$2:$E$745,"=cogs_support",'ledger'!$G$2:$G$745,"jun26")</f>
        <v>0</v>
      </c>
      <c r="J31" s="4">
        <f>SUMIFS('ledger'!$F$2:$F$745,'ledger'!$C$2:$C$745,"=us",'ledger'!$D$2:$D$745,"=g_and_a",'ledger'!$E$2:$E$745,"=cogs_support",'ledger'!$G$2:$G$745,"jul26")</f>
        <v>0</v>
      </c>
      <c r="K31" s="4">
        <f>SUMIFS('ledger'!$F$2:$F$745,'ledger'!$C$2:$C$745,"=us",'ledger'!$D$2:$D$745,"=g_and_a",'ledger'!$E$2:$E$745,"=cogs_support",'ledger'!$G$2:$G$745,"aug26")</f>
        <v>0</v>
      </c>
      <c r="L31" s="4">
        <f>(K31*(1+'Forecast drivers'!J9))</f>
        <v>0</v>
      </c>
      <c r="M31" s="4">
        <f>(L31*(1+'Forecast drivers'!K9))</f>
        <v>0</v>
      </c>
      <c r="N31" s="4">
        <f>(M31*(1+'Forecast drivers'!L9))</f>
        <v>0</v>
      </c>
      <c r="O31" s="4">
        <f>(N31*(1+'Forecast drivers'!M9))</f>
        <v>0</v>
      </c>
    </row>
    <row r="32">
      <c r="A32" s="0" t="inlineStr">
        <is>
          <t xml:space="preserve">Cost of revenue: support</t>
        </is>
      </c>
      <c r="B32" s="0" t="inlineStr">
        <is>
          <t xml:space="preserve">United Kingdom</t>
        </is>
      </c>
      <c r="C32" s="0" t="inlineStr">
        <is>
          <t xml:space="preserve">Company (revenue and cost of revenue)</t>
        </is>
      </c>
      <c r="D32" s="8">
        <f>SUMIFS('ledger'!$F$2:$F$745,'ledger'!$C$2:$C$745,"=uk",'ledger'!$D$2:$D$745,"=company",'ledger'!$E$2:$E$745,"=cogs_support",'ledger'!$G$2:$G$745,"jan26")</f>
        <v>-84698</v>
      </c>
      <c r="E32" s="8">
        <f>SUMIFS('ledger'!$F$2:$F$745,'ledger'!$C$2:$C$745,"=uk",'ledger'!$D$2:$D$745,"=company",'ledger'!$E$2:$E$745,"=cogs_support",'ledger'!$G$2:$G$745,"feb26")</f>
        <v>-86620</v>
      </c>
      <c r="F32" s="8">
        <f>SUMIFS('ledger'!$F$2:$F$745,'ledger'!$C$2:$C$745,"=uk",'ledger'!$D$2:$D$745,"=company",'ledger'!$E$2:$E$745,"=cogs_support",'ledger'!$G$2:$G$745,"mar26")</f>
        <v>-95686</v>
      </c>
      <c r="G32" s="8">
        <f>SUMIFS('ledger'!$F$2:$F$745,'ledger'!$C$2:$C$745,"=uk",'ledger'!$D$2:$D$745,"=company",'ledger'!$E$2:$E$745,"=cogs_support",'ledger'!$G$2:$G$745,"apr26")</f>
        <v>-100346</v>
      </c>
      <c r="H32" s="8">
        <f>SUMIFS('ledger'!$F$2:$F$745,'ledger'!$C$2:$C$745,"=uk",'ledger'!$D$2:$D$745,"=company",'ledger'!$E$2:$E$745,"=cogs_support",'ledger'!$G$2:$G$745,"may26")</f>
        <v>-96682</v>
      </c>
      <c r="I32" s="8">
        <f>SUMIFS('ledger'!$F$2:$F$745,'ledger'!$C$2:$C$745,"=uk",'ledger'!$D$2:$D$745,"=company",'ledger'!$E$2:$E$745,"=cogs_support",'ledger'!$G$2:$G$745,"jun26")</f>
        <v>-111277</v>
      </c>
      <c r="J32" s="8">
        <f>SUMIFS('ledger'!$F$2:$F$745,'ledger'!$C$2:$C$745,"=uk",'ledger'!$D$2:$D$745,"=company",'ledger'!$E$2:$E$745,"=cogs_support",'ledger'!$G$2:$G$745,"jul26")</f>
        <v>-86485</v>
      </c>
      <c r="K32" s="8">
        <f>SUMIFS('ledger'!$F$2:$F$745,'ledger'!$C$2:$C$745,"=uk",'ledger'!$D$2:$D$745,"=company",'ledger'!$E$2:$E$745,"=cogs_support",'ledger'!$G$2:$G$745,"aug26")</f>
        <v>-101610</v>
      </c>
      <c r="L32" s="8">
        <f>(-(L8)*'Forecast drivers'!J4)</f>
        <v>-101004.29798099998</v>
      </c>
      <c r="M32" s="8">
        <f>(-(M8)*'Forecast drivers'!K4)</f>
        <v>-102923.37964263897</v>
      </c>
      <c r="N32" s="8">
        <f>(-(N8)*'Forecast drivers'!L4)</f>
        <v>-104878.9238558491</v>
      </c>
      <c r="O32" s="8">
        <f>(-(O8)*'Forecast drivers'!M4)</f>
        <v>-106871.62340911022</v>
      </c>
    </row>
    <row r="33">
      <c r="A33" s="0" t="inlineStr">
        <is>
          <t xml:space="preserve">Cost of revenue: support</t>
        </is>
      </c>
      <c r="B33" s="0" t="inlineStr">
        <is>
          <t xml:space="preserve">United Kingdom</t>
        </is>
      </c>
      <c r="C33" s="0" t="inlineStr">
        <is>
          <t xml:space="preserve">Sales</t>
        </is>
      </c>
      <c r="D33" s="4">
        <f>SUMIFS('ledger'!$F$2:$F$745,'ledger'!$C$2:$C$745,"=uk",'ledger'!$D$2:$D$745,"=sales",'ledger'!$E$2:$E$745,"=cogs_support",'ledger'!$G$2:$G$745,"jan26")</f>
        <v>0</v>
      </c>
      <c r="E33" s="4">
        <f>SUMIFS('ledger'!$F$2:$F$745,'ledger'!$C$2:$C$745,"=uk",'ledger'!$D$2:$D$745,"=sales",'ledger'!$E$2:$E$745,"=cogs_support",'ledger'!$G$2:$G$745,"feb26")</f>
        <v>0</v>
      </c>
      <c r="F33" s="4">
        <f>SUMIFS('ledger'!$F$2:$F$745,'ledger'!$C$2:$C$745,"=uk",'ledger'!$D$2:$D$745,"=sales",'ledger'!$E$2:$E$745,"=cogs_support",'ledger'!$G$2:$G$745,"mar26")</f>
        <v>0</v>
      </c>
      <c r="G33" s="4">
        <f>SUMIFS('ledger'!$F$2:$F$745,'ledger'!$C$2:$C$745,"=uk",'ledger'!$D$2:$D$745,"=sales",'ledger'!$E$2:$E$745,"=cogs_support",'ledger'!$G$2:$G$745,"apr26")</f>
        <v>0</v>
      </c>
      <c r="H33" s="4">
        <f>SUMIFS('ledger'!$F$2:$F$745,'ledger'!$C$2:$C$745,"=uk",'ledger'!$D$2:$D$745,"=sales",'ledger'!$E$2:$E$745,"=cogs_support",'ledger'!$G$2:$G$745,"may26")</f>
        <v>0</v>
      </c>
      <c r="I33" s="4">
        <f>SUMIFS('ledger'!$F$2:$F$745,'ledger'!$C$2:$C$745,"=uk",'ledger'!$D$2:$D$745,"=sales",'ledger'!$E$2:$E$745,"=cogs_support",'ledger'!$G$2:$G$745,"jun26")</f>
        <v>0</v>
      </c>
      <c r="J33" s="4">
        <f>SUMIFS('ledger'!$F$2:$F$745,'ledger'!$C$2:$C$745,"=uk",'ledger'!$D$2:$D$745,"=sales",'ledger'!$E$2:$E$745,"=cogs_support",'ledger'!$G$2:$G$745,"jul26")</f>
        <v>0</v>
      </c>
      <c r="K33" s="4">
        <f>SUMIFS('ledger'!$F$2:$F$745,'ledger'!$C$2:$C$745,"=uk",'ledger'!$D$2:$D$745,"=sales",'ledger'!$E$2:$E$745,"=cogs_support",'ledger'!$G$2:$G$745,"aug26")</f>
        <v>0</v>
      </c>
      <c r="L33" s="4">
        <f>(K33*(1+'Forecast drivers'!J9))</f>
        <v>0</v>
      </c>
      <c r="M33" s="4">
        <f>(L33*(1+'Forecast drivers'!K9))</f>
        <v>0</v>
      </c>
      <c r="N33" s="4">
        <f>(M33*(1+'Forecast drivers'!L9))</f>
        <v>0</v>
      </c>
      <c r="O33" s="4">
        <f>(N33*(1+'Forecast drivers'!M9))</f>
        <v>0</v>
      </c>
    </row>
    <row r="34">
      <c r="A34" s="0" t="inlineStr">
        <is>
          <t xml:space="preserve">Cost of revenue: support</t>
        </is>
      </c>
      <c r="B34" s="0" t="inlineStr">
        <is>
          <t xml:space="preserve">United Kingdom</t>
        </is>
      </c>
      <c r="C34" s="0" t="inlineStr">
        <is>
          <t xml:space="preserve">Marketing</t>
        </is>
      </c>
      <c r="D34" s="4">
        <f>SUMIFS('ledger'!$F$2:$F$745,'ledger'!$C$2:$C$745,"=uk",'ledger'!$D$2:$D$745,"=marketing",'ledger'!$E$2:$E$745,"=cogs_support",'ledger'!$G$2:$G$745,"jan26")</f>
        <v>0</v>
      </c>
      <c r="E34" s="4">
        <f>SUMIFS('ledger'!$F$2:$F$745,'ledger'!$C$2:$C$745,"=uk",'ledger'!$D$2:$D$745,"=marketing",'ledger'!$E$2:$E$745,"=cogs_support",'ledger'!$G$2:$G$745,"feb26")</f>
        <v>0</v>
      </c>
      <c r="F34" s="4">
        <f>SUMIFS('ledger'!$F$2:$F$745,'ledger'!$C$2:$C$745,"=uk",'ledger'!$D$2:$D$745,"=marketing",'ledger'!$E$2:$E$745,"=cogs_support",'ledger'!$G$2:$G$745,"mar26")</f>
        <v>0</v>
      </c>
      <c r="G34" s="4">
        <f>SUMIFS('ledger'!$F$2:$F$745,'ledger'!$C$2:$C$745,"=uk",'ledger'!$D$2:$D$745,"=marketing",'ledger'!$E$2:$E$745,"=cogs_support",'ledger'!$G$2:$G$745,"apr26")</f>
        <v>0</v>
      </c>
      <c r="H34" s="4">
        <f>SUMIFS('ledger'!$F$2:$F$745,'ledger'!$C$2:$C$745,"=uk",'ledger'!$D$2:$D$745,"=marketing",'ledger'!$E$2:$E$745,"=cogs_support",'ledger'!$G$2:$G$745,"may26")</f>
        <v>0</v>
      </c>
      <c r="I34" s="4">
        <f>SUMIFS('ledger'!$F$2:$F$745,'ledger'!$C$2:$C$745,"=uk",'ledger'!$D$2:$D$745,"=marketing",'ledger'!$E$2:$E$745,"=cogs_support",'ledger'!$G$2:$G$745,"jun26")</f>
        <v>0</v>
      </c>
      <c r="J34" s="4">
        <f>SUMIFS('ledger'!$F$2:$F$745,'ledger'!$C$2:$C$745,"=uk",'ledger'!$D$2:$D$745,"=marketing",'ledger'!$E$2:$E$745,"=cogs_support",'ledger'!$G$2:$G$745,"jul26")</f>
        <v>0</v>
      </c>
      <c r="K34" s="4">
        <f>SUMIFS('ledger'!$F$2:$F$745,'ledger'!$C$2:$C$745,"=uk",'ledger'!$D$2:$D$745,"=marketing",'ledger'!$E$2:$E$745,"=cogs_support",'ledger'!$G$2:$G$745,"aug26")</f>
        <v>0</v>
      </c>
      <c r="L34" s="4">
        <f>(K34*(1+'Forecast drivers'!J9))</f>
        <v>0</v>
      </c>
      <c r="M34" s="4">
        <f>(L34*(1+'Forecast drivers'!K9))</f>
        <v>0</v>
      </c>
      <c r="N34" s="4">
        <f>(M34*(1+'Forecast drivers'!L9))</f>
        <v>0</v>
      </c>
      <c r="O34" s="4">
        <f>(N34*(1+'Forecast drivers'!M9))</f>
        <v>0</v>
      </c>
    </row>
    <row r="35">
      <c r="A35" s="0" t="inlineStr">
        <is>
          <t xml:space="preserve">Cost of revenue: support</t>
        </is>
      </c>
      <c r="B35" s="0" t="inlineStr">
        <is>
          <t xml:space="preserve">United Kingdom</t>
        </is>
      </c>
      <c r="C35" s="0" t="inlineStr">
        <is>
          <t xml:space="preserve">Engineering</t>
        </is>
      </c>
      <c r="D35" s="4">
        <f>SUMIFS('ledger'!$F$2:$F$745,'ledger'!$C$2:$C$745,"=uk",'ledger'!$D$2:$D$745,"=engineering",'ledger'!$E$2:$E$745,"=cogs_support",'ledger'!$G$2:$G$745,"jan26")</f>
        <v>0</v>
      </c>
      <c r="E35" s="4">
        <f>SUMIFS('ledger'!$F$2:$F$745,'ledger'!$C$2:$C$745,"=uk",'ledger'!$D$2:$D$745,"=engineering",'ledger'!$E$2:$E$745,"=cogs_support",'ledger'!$G$2:$G$745,"feb26")</f>
        <v>0</v>
      </c>
      <c r="F35" s="4">
        <f>SUMIFS('ledger'!$F$2:$F$745,'ledger'!$C$2:$C$745,"=uk",'ledger'!$D$2:$D$745,"=engineering",'ledger'!$E$2:$E$745,"=cogs_support",'ledger'!$G$2:$G$745,"mar26")</f>
        <v>0</v>
      </c>
      <c r="G35" s="4">
        <f>SUMIFS('ledger'!$F$2:$F$745,'ledger'!$C$2:$C$745,"=uk",'ledger'!$D$2:$D$745,"=engineering",'ledger'!$E$2:$E$745,"=cogs_support",'ledger'!$G$2:$G$745,"apr26")</f>
        <v>0</v>
      </c>
      <c r="H35" s="4">
        <f>SUMIFS('ledger'!$F$2:$F$745,'ledger'!$C$2:$C$745,"=uk",'ledger'!$D$2:$D$745,"=engineering",'ledger'!$E$2:$E$745,"=cogs_support",'ledger'!$G$2:$G$745,"may26")</f>
        <v>0</v>
      </c>
      <c r="I35" s="4">
        <f>SUMIFS('ledger'!$F$2:$F$745,'ledger'!$C$2:$C$745,"=uk",'ledger'!$D$2:$D$745,"=engineering",'ledger'!$E$2:$E$745,"=cogs_support",'ledger'!$G$2:$G$745,"jun26")</f>
        <v>0</v>
      </c>
      <c r="J35" s="4">
        <f>SUMIFS('ledger'!$F$2:$F$745,'ledger'!$C$2:$C$745,"=uk",'ledger'!$D$2:$D$745,"=engineering",'ledger'!$E$2:$E$745,"=cogs_support",'ledger'!$G$2:$G$745,"jul26")</f>
        <v>0</v>
      </c>
      <c r="K35" s="4">
        <f>SUMIFS('ledger'!$F$2:$F$745,'ledger'!$C$2:$C$745,"=uk",'ledger'!$D$2:$D$745,"=engineering",'ledger'!$E$2:$E$745,"=cogs_support",'ledger'!$G$2:$G$745,"aug26")</f>
        <v>0</v>
      </c>
      <c r="L35" s="4">
        <f>(K35*(1+'Forecast drivers'!J9))</f>
        <v>0</v>
      </c>
      <c r="M35" s="4">
        <f>(L35*(1+'Forecast drivers'!K9))</f>
        <v>0</v>
      </c>
      <c r="N35" s="4">
        <f>(M35*(1+'Forecast drivers'!L9))</f>
        <v>0</v>
      </c>
      <c r="O35" s="4">
        <f>(N35*(1+'Forecast drivers'!M9))</f>
        <v>0</v>
      </c>
    </row>
    <row r="36">
      <c r="A36" s="0" t="inlineStr">
        <is>
          <t xml:space="preserve">Cost of revenue: support</t>
        </is>
      </c>
      <c r="B36" s="0" t="inlineStr">
        <is>
          <t xml:space="preserve">United Kingdom</t>
        </is>
      </c>
      <c r="C36" s="0" t="inlineStr">
        <is>
          <t xml:space="preserve">Customer success</t>
        </is>
      </c>
      <c r="D36" s="4">
        <f>SUMIFS('ledger'!$F$2:$F$745,'ledger'!$C$2:$C$745,"=uk",'ledger'!$D$2:$D$745,"=customer_success",'ledger'!$E$2:$E$745,"=cogs_support",'ledger'!$G$2:$G$745,"jan26")</f>
        <v>0</v>
      </c>
      <c r="E36" s="4">
        <f>SUMIFS('ledger'!$F$2:$F$745,'ledger'!$C$2:$C$745,"=uk",'ledger'!$D$2:$D$745,"=customer_success",'ledger'!$E$2:$E$745,"=cogs_support",'ledger'!$G$2:$G$745,"feb26")</f>
        <v>0</v>
      </c>
      <c r="F36" s="4">
        <f>SUMIFS('ledger'!$F$2:$F$745,'ledger'!$C$2:$C$745,"=uk",'ledger'!$D$2:$D$745,"=customer_success",'ledger'!$E$2:$E$745,"=cogs_support",'ledger'!$G$2:$G$745,"mar26")</f>
        <v>0</v>
      </c>
      <c r="G36" s="4">
        <f>SUMIFS('ledger'!$F$2:$F$745,'ledger'!$C$2:$C$745,"=uk",'ledger'!$D$2:$D$745,"=customer_success",'ledger'!$E$2:$E$745,"=cogs_support",'ledger'!$G$2:$G$745,"apr26")</f>
        <v>0</v>
      </c>
      <c r="H36" s="4">
        <f>SUMIFS('ledger'!$F$2:$F$745,'ledger'!$C$2:$C$745,"=uk",'ledger'!$D$2:$D$745,"=customer_success",'ledger'!$E$2:$E$745,"=cogs_support",'ledger'!$G$2:$G$745,"may26")</f>
        <v>0</v>
      </c>
      <c r="I36" s="4">
        <f>SUMIFS('ledger'!$F$2:$F$745,'ledger'!$C$2:$C$745,"=uk",'ledger'!$D$2:$D$745,"=customer_success",'ledger'!$E$2:$E$745,"=cogs_support",'ledger'!$G$2:$G$745,"jun26")</f>
        <v>0</v>
      </c>
      <c r="J36" s="4">
        <f>SUMIFS('ledger'!$F$2:$F$745,'ledger'!$C$2:$C$745,"=uk",'ledger'!$D$2:$D$745,"=customer_success",'ledger'!$E$2:$E$745,"=cogs_support",'ledger'!$G$2:$G$745,"jul26")</f>
        <v>0</v>
      </c>
      <c r="K36" s="4">
        <f>SUMIFS('ledger'!$F$2:$F$745,'ledger'!$C$2:$C$745,"=uk",'ledger'!$D$2:$D$745,"=customer_success",'ledger'!$E$2:$E$745,"=cogs_support",'ledger'!$G$2:$G$745,"aug26")</f>
        <v>0</v>
      </c>
      <c r="L36" s="4">
        <f>(K36*(1+'Forecast drivers'!J9))</f>
        <v>0</v>
      </c>
      <c r="M36" s="4">
        <f>(L36*(1+'Forecast drivers'!K9))</f>
        <v>0</v>
      </c>
      <c r="N36" s="4">
        <f>(M36*(1+'Forecast drivers'!L9))</f>
        <v>0</v>
      </c>
      <c r="O36" s="4">
        <f>(N36*(1+'Forecast drivers'!M9))</f>
        <v>0</v>
      </c>
    </row>
    <row r="37">
      <c r="A37" s="0" t="inlineStr">
        <is>
          <t xml:space="preserve">Cost of revenue: support</t>
        </is>
      </c>
      <c r="B37" s="0" t="inlineStr">
        <is>
          <t xml:space="preserve">United Kingdom</t>
        </is>
      </c>
      <c r="C37" s="0" t="inlineStr">
        <is>
          <t xml:space="preserve">G&amp;A</t>
        </is>
      </c>
      <c r="D37" s="4">
        <f>SUMIFS('ledger'!$F$2:$F$745,'ledger'!$C$2:$C$745,"=uk",'ledger'!$D$2:$D$745,"=g_and_a",'ledger'!$E$2:$E$745,"=cogs_support",'ledger'!$G$2:$G$745,"jan26")</f>
        <v>0</v>
      </c>
      <c r="E37" s="4">
        <f>SUMIFS('ledger'!$F$2:$F$745,'ledger'!$C$2:$C$745,"=uk",'ledger'!$D$2:$D$745,"=g_and_a",'ledger'!$E$2:$E$745,"=cogs_support",'ledger'!$G$2:$G$745,"feb26")</f>
        <v>0</v>
      </c>
      <c r="F37" s="4">
        <f>SUMIFS('ledger'!$F$2:$F$745,'ledger'!$C$2:$C$745,"=uk",'ledger'!$D$2:$D$745,"=g_and_a",'ledger'!$E$2:$E$745,"=cogs_support",'ledger'!$G$2:$G$745,"mar26")</f>
        <v>0</v>
      </c>
      <c r="G37" s="4">
        <f>SUMIFS('ledger'!$F$2:$F$745,'ledger'!$C$2:$C$745,"=uk",'ledger'!$D$2:$D$745,"=g_and_a",'ledger'!$E$2:$E$745,"=cogs_support",'ledger'!$G$2:$G$745,"apr26")</f>
        <v>0</v>
      </c>
      <c r="H37" s="4">
        <f>SUMIFS('ledger'!$F$2:$F$745,'ledger'!$C$2:$C$745,"=uk",'ledger'!$D$2:$D$745,"=g_and_a",'ledger'!$E$2:$E$745,"=cogs_support",'ledger'!$G$2:$G$745,"may26")</f>
        <v>0</v>
      </c>
      <c r="I37" s="4">
        <f>SUMIFS('ledger'!$F$2:$F$745,'ledger'!$C$2:$C$745,"=uk",'ledger'!$D$2:$D$745,"=g_and_a",'ledger'!$E$2:$E$745,"=cogs_support",'ledger'!$G$2:$G$745,"jun26")</f>
        <v>0</v>
      </c>
      <c r="J37" s="4">
        <f>SUMIFS('ledger'!$F$2:$F$745,'ledger'!$C$2:$C$745,"=uk",'ledger'!$D$2:$D$745,"=g_and_a",'ledger'!$E$2:$E$745,"=cogs_support",'ledger'!$G$2:$G$745,"jul26")</f>
        <v>0</v>
      </c>
      <c r="K37" s="4">
        <f>SUMIFS('ledger'!$F$2:$F$745,'ledger'!$C$2:$C$745,"=uk",'ledger'!$D$2:$D$745,"=g_and_a",'ledger'!$E$2:$E$745,"=cogs_support",'ledger'!$G$2:$G$745,"aug26")</f>
        <v>0</v>
      </c>
      <c r="L37" s="4">
        <f>(K37*(1+'Forecast drivers'!J9))</f>
        <v>0</v>
      </c>
      <c r="M37" s="4">
        <f>(L37*(1+'Forecast drivers'!K9))</f>
        <v>0</v>
      </c>
      <c r="N37" s="4">
        <f>(M37*(1+'Forecast drivers'!L9))</f>
        <v>0</v>
      </c>
      <c r="O37" s="4">
        <f>(N37*(1+'Forecast drivers'!M9))</f>
        <v>0</v>
      </c>
    </row>
    <row r="38">
      <c r="A38" s="0" t="inlineStr">
        <is>
          <t xml:space="preserve">Salaries</t>
        </is>
      </c>
      <c r="B38" s="0" t="inlineStr">
        <is>
          <t xml:space="preserve">United States</t>
        </is>
      </c>
      <c r="C38" s="0" t="inlineStr">
        <is>
          <t xml:space="preserve">Company (revenue and cost of revenue)</t>
        </is>
      </c>
      <c r="D38" s="4">
        <f>SUMIFS('ledger'!$F$2:$F$745,'ledger'!$C$2:$C$745,"=us",'ledger'!$D$2:$D$745,"=company",'ledger'!$E$2:$E$745,"=salaries",'ledger'!$G$2:$G$745,"jan26")</f>
        <v>0</v>
      </c>
      <c r="E38" s="4">
        <f>SUMIFS('ledger'!$F$2:$F$745,'ledger'!$C$2:$C$745,"=us",'ledger'!$D$2:$D$745,"=company",'ledger'!$E$2:$E$745,"=salaries",'ledger'!$G$2:$G$745,"feb26")</f>
        <v>0</v>
      </c>
      <c r="F38" s="4">
        <f>SUMIFS('ledger'!$F$2:$F$745,'ledger'!$C$2:$C$745,"=us",'ledger'!$D$2:$D$745,"=company",'ledger'!$E$2:$E$745,"=salaries",'ledger'!$G$2:$G$745,"mar26")</f>
        <v>0</v>
      </c>
      <c r="G38" s="4">
        <f>SUMIFS('ledger'!$F$2:$F$745,'ledger'!$C$2:$C$745,"=us",'ledger'!$D$2:$D$745,"=company",'ledger'!$E$2:$E$745,"=salaries",'ledger'!$G$2:$G$745,"apr26")</f>
        <v>0</v>
      </c>
      <c r="H38" s="4">
        <f>SUMIFS('ledger'!$F$2:$F$745,'ledger'!$C$2:$C$745,"=us",'ledger'!$D$2:$D$745,"=company",'ledger'!$E$2:$E$745,"=salaries",'ledger'!$G$2:$G$745,"may26")</f>
        <v>0</v>
      </c>
      <c r="I38" s="4">
        <f>SUMIFS('ledger'!$F$2:$F$745,'ledger'!$C$2:$C$745,"=us",'ledger'!$D$2:$D$745,"=company",'ledger'!$E$2:$E$745,"=salaries",'ledger'!$G$2:$G$745,"jun26")</f>
        <v>0</v>
      </c>
      <c r="J38" s="4">
        <f>SUMIFS('ledger'!$F$2:$F$745,'ledger'!$C$2:$C$745,"=us",'ledger'!$D$2:$D$745,"=company",'ledger'!$E$2:$E$745,"=salaries",'ledger'!$G$2:$G$745,"jul26")</f>
        <v>0</v>
      </c>
      <c r="K38" s="4">
        <f>SUMIFS('ledger'!$F$2:$F$745,'ledger'!$C$2:$C$745,"=us",'ledger'!$D$2:$D$745,"=company",'ledger'!$E$2:$E$745,"=salaries",'ledger'!$G$2:$G$745,"aug26")</f>
        <v>0</v>
      </c>
      <c r="L38" s="4">
        <f>'Headcount plan'!L26</f>
        <v>0</v>
      </c>
      <c r="M38" s="4">
        <f>'Headcount plan'!M26</f>
        <v>0</v>
      </c>
      <c r="N38" s="4">
        <f>'Headcount plan'!N26</f>
        <v>0</v>
      </c>
      <c r="O38" s="4">
        <f>'Headcount plan'!O26</f>
        <v>0</v>
      </c>
    </row>
    <row r="39">
      <c r="A39" s="0" t="inlineStr">
        <is>
          <t xml:space="preserve">Salaries</t>
        </is>
      </c>
      <c r="B39" s="0" t="inlineStr">
        <is>
          <t xml:space="preserve">United States</t>
        </is>
      </c>
      <c r="C39" s="0" t="inlineStr">
        <is>
          <t xml:space="preserve">Sales</t>
        </is>
      </c>
      <c r="D39" s="4">
        <f>SUMIFS('ledger'!$F$2:$F$745,'ledger'!$C$2:$C$745,"=us",'ledger'!$D$2:$D$745,"=sales",'ledger'!$E$2:$E$745,"=salaries",'ledger'!$G$2:$G$745,"jan26")</f>
        <v>-324068</v>
      </c>
      <c r="E39" s="4">
        <f>SUMIFS('ledger'!$F$2:$F$745,'ledger'!$C$2:$C$745,"=us",'ledger'!$D$2:$D$745,"=sales",'ledger'!$E$2:$E$745,"=salaries",'ledger'!$G$2:$G$745,"feb26")</f>
        <v>-331696</v>
      </c>
      <c r="F39" s="4">
        <f>SUMIFS('ledger'!$F$2:$F$745,'ledger'!$C$2:$C$745,"=us",'ledger'!$D$2:$D$745,"=sales",'ledger'!$E$2:$E$745,"=salaries",'ledger'!$G$2:$G$745,"mar26")</f>
        <v>-285280</v>
      </c>
      <c r="G39" s="4">
        <f>SUMIFS('ledger'!$F$2:$F$745,'ledger'!$C$2:$C$745,"=us",'ledger'!$D$2:$D$745,"=sales",'ledger'!$E$2:$E$745,"=salaries",'ledger'!$G$2:$G$745,"apr26")</f>
        <v>-332655</v>
      </c>
      <c r="H39" s="4">
        <f>SUMIFS('ledger'!$F$2:$F$745,'ledger'!$C$2:$C$745,"=us",'ledger'!$D$2:$D$745,"=sales",'ledger'!$E$2:$E$745,"=salaries",'ledger'!$G$2:$G$745,"may26")</f>
        <v>-355616</v>
      </c>
      <c r="I39" s="4">
        <f>SUMIFS('ledger'!$F$2:$F$745,'ledger'!$C$2:$C$745,"=us",'ledger'!$D$2:$D$745,"=sales",'ledger'!$E$2:$E$745,"=salaries",'ledger'!$G$2:$G$745,"jun26")</f>
        <v>-359403</v>
      </c>
      <c r="J39" s="4">
        <f>SUMIFS('ledger'!$F$2:$F$745,'ledger'!$C$2:$C$745,"=us",'ledger'!$D$2:$D$745,"=sales",'ledger'!$E$2:$E$745,"=salaries",'ledger'!$G$2:$G$745,"jul26")</f>
        <v>-360709</v>
      </c>
      <c r="K39" s="4">
        <f>SUMIFS('ledger'!$F$2:$F$745,'ledger'!$C$2:$C$745,"=us",'ledger'!$D$2:$D$745,"=sales",'ledger'!$E$2:$E$745,"=salaries",'ledger'!$G$2:$G$745,"aug26")</f>
        <v>-359877</v>
      </c>
      <c r="L39" s="4">
        <f>'Headcount plan'!L27</f>
        <v>-398750</v>
      </c>
      <c r="M39" s="4">
        <f>'Headcount plan'!M27</f>
        <v>-412500</v>
      </c>
      <c r="N39" s="4">
        <f>'Headcount plan'!N27</f>
        <v>-412500</v>
      </c>
      <c r="O39" s="4">
        <f>'Headcount plan'!O27</f>
        <v>-426250</v>
      </c>
    </row>
    <row r="40">
      <c r="A40" s="0" t="inlineStr">
        <is>
          <t xml:space="preserve">Salaries</t>
        </is>
      </c>
      <c r="B40" s="0" t="inlineStr">
        <is>
          <t xml:space="preserve">United States</t>
        </is>
      </c>
      <c r="C40" s="0" t="inlineStr">
        <is>
          <t xml:space="preserve">Marketing</t>
        </is>
      </c>
      <c r="D40" s="8">
        <f>SUMIFS('ledger'!$F$2:$F$745,'ledger'!$C$2:$C$745,"=us",'ledger'!$D$2:$D$745,"=marketing",'ledger'!$E$2:$E$745,"=salaries",'ledger'!$G$2:$G$745,"jan26")</f>
        <v>-102781</v>
      </c>
      <c r="E40" s="8">
        <f>SUMIFS('ledger'!$F$2:$F$745,'ledger'!$C$2:$C$745,"=us",'ledger'!$D$2:$D$745,"=marketing",'ledger'!$E$2:$E$745,"=salaries",'ledger'!$G$2:$G$745,"feb26")</f>
        <v>-99891</v>
      </c>
      <c r="F40" s="8">
        <f>SUMIFS('ledger'!$F$2:$F$745,'ledger'!$C$2:$C$745,"=us",'ledger'!$D$2:$D$745,"=marketing",'ledger'!$E$2:$E$745,"=salaries",'ledger'!$G$2:$G$745,"mar26")</f>
        <v>-115634</v>
      </c>
      <c r="G40" s="8">
        <f>SUMIFS('ledger'!$F$2:$F$745,'ledger'!$C$2:$C$745,"=us",'ledger'!$D$2:$D$745,"=marketing",'ledger'!$E$2:$E$745,"=salaries",'ledger'!$G$2:$G$745,"apr26")</f>
        <v>-110169</v>
      </c>
      <c r="H40" s="8">
        <f>SUMIFS('ledger'!$F$2:$F$745,'ledger'!$C$2:$C$745,"=us",'ledger'!$D$2:$D$745,"=marketing",'ledger'!$E$2:$E$745,"=salaries",'ledger'!$G$2:$G$745,"may26")</f>
        <v>-118123</v>
      </c>
      <c r="I40" s="8">
        <f>SUMIFS('ledger'!$F$2:$F$745,'ledger'!$C$2:$C$745,"=us",'ledger'!$D$2:$D$745,"=marketing",'ledger'!$E$2:$E$745,"=salaries",'ledger'!$G$2:$G$745,"jun26")</f>
        <v>-119301</v>
      </c>
      <c r="J40" s="8">
        <f>SUMIFS('ledger'!$F$2:$F$745,'ledger'!$C$2:$C$745,"=us",'ledger'!$D$2:$D$745,"=marketing",'ledger'!$E$2:$E$745,"=salaries",'ledger'!$G$2:$G$745,"jul26")</f>
        <v>-115211</v>
      </c>
      <c r="K40" s="8">
        <f>SUMIFS('ledger'!$F$2:$F$745,'ledger'!$C$2:$C$745,"=us",'ledger'!$D$2:$D$745,"=marketing",'ledger'!$E$2:$E$745,"=salaries",'ledger'!$G$2:$G$745,"aug26")</f>
        <v>-124744</v>
      </c>
      <c r="L40" s="8">
        <f>'Headcount plan'!L28</f>
        <v>-128333.33333333333</v>
      </c>
      <c r="M40" s="8">
        <f>'Headcount plan'!M28</f>
        <v>-140000</v>
      </c>
      <c r="N40" s="8">
        <f>'Headcount plan'!N28</f>
        <v>-140000</v>
      </c>
      <c r="O40" s="8">
        <f>'Headcount plan'!O28</f>
        <v>-140000</v>
      </c>
    </row>
    <row r="41">
      <c r="A41" s="0" t="inlineStr">
        <is>
          <t xml:space="preserve">Salaries</t>
        </is>
      </c>
      <c r="B41" s="0" t="inlineStr">
        <is>
          <t xml:space="preserve">United States</t>
        </is>
      </c>
      <c r="C41" s="0" t="inlineStr">
        <is>
          <t xml:space="preserve">Engineering</t>
        </is>
      </c>
      <c r="D41" s="8">
        <f>SUMIFS('ledger'!$F$2:$F$745,'ledger'!$C$2:$C$745,"=us",'ledger'!$D$2:$D$745,"=engineering",'ledger'!$E$2:$E$745,"=salaries",'ledger'!$G$2:$G$745,"jan26")</f>
        <v>-605683</v>
      </c>
      <c r="E41" s="8">
        <f>SUMIFS('ledger'!$F$2:$F$745,'ledger'!$C$2:$C$745,"=us",'ledger'!$D$2:$D$745,"=engineering",'ledger'!$E$2:$E$745,"=salaries",'ledger'!$G$2:$G$745,"feb26")</f>
        <v>-645821</v>
      </c>
      <c r="F41" s="8">
        <f>SUMIFS('ledger'!$F$2:$F$745,'ledger'!$C$2:$C$745,"=us",'ledger'!$D$2:$D$745,"=engineering",'ledger'!$E$2:$E$745,"=salaries",'ledger'!$G$2:$G$745,"mar26")</f>
        <v>-681570</v>
      </c>
      <c r="G41" s="8">
        <f>SUMIFS('ledger'!$F$2:$F$745,'ledger'!$C$2:$C$745,"=us",'ledger'!$D$2:$D$745,"=engineering",'ledger'!$E$2:$E$745,"=salaries",'ledger'!$G$2:$G$745,"apr26")</f>
        <v>-655016</v>
      </c>
      <c r="H41" s="8">
        <f>SUMIFS('ledger'!$F$2:$F$745,'ledger'!$C$2:$C$745,"=us",'ledger'!$D$2:$D$745,"=engineering",'ledger'!$E$2:$E$745,"=salaries",'ledger'!$G$2:$G$745,"may26")</f>
        <v>-644680</v>
      </c>
      <c r="I41" s="8">
        <f>SUMIFS('ledger'!$F$2:$F$745,'ledger'!$C$2:$C$745,"=us",'ledger'!$D$2:$D$745,"=engineering",'ledger'!$E$2:$E$745,"=salaries",'ledger'!$G$2:$G$745,"jun26")</f>
        <v>-741138</v>
      </c>
      <c r="J41" s="8">
        <f>SUMIFS('ledger'!$F$2:$F$745,'ledger'!$C$2:$C$745,"=us",'ledger'!$D$2:$D$745,"=engineering",'ledger'!$E$2:$E$745,"=salaries",'ledger'!$G$2:$G$745,"jul26")</f>
        <v>-707984</v>
      </c>
      <c r="K41" s="8">
        <f>SUMIFS('ledger'!$F$2:$F$745,'ledger'!$C$2:$C$745,"=us",'ledger'!$D$2:$D$745,"=engineering",'ledger'!$E$2:$E$745,"=salaries",'ledger'!$G$2:$G$745,"aug26")</f>
        <v>-720855</v>
      </c>
      <c r="L41" s="8">
        <f>'Headcount plan'!L29</f>
        <v>-823333.3333333334</v>
      </c>
      <c r="M41" s="8">
        <f>'Headcount plan'!M29</f>
        <v>-839166.6666666666</v>
      </c>
      <c r="N41" s="8">
        <f>'Headcount plan'!N29</f>
        <v>-855000</v>
      </c>
      <c r="O41" s="8">
        <f>'Headcount plan'!O29</f>
        <v>-870833.3333333334</v>
      </c>
    </row>
    <row r="42">
      <c r="A42" s="0" t="inlineStr">
        <is>
          <t xml:space="preserve">Salaries</t>
        </is>
      </c>
      <c r="B42" s="0" t="inlineStr">
        <is>
          <t xml:space="preserve">United States</t>
        </is>
      </c>
      <c r="C42" s="0" t="inlineStr">
        <is>
          <t xml:space="preserve">Customer success</t>
        </is>
      </c>
      <c r="D42" s="8">
        <f>SUMIFS('ledger'!$F$2:$F$745,'ledger'!$C$2:$C$745,"=us",'ledger'!$D$2:$D$745,"=customer_success",'ledger'!$E$2:$E$745,"=salaries",'ledger'!$G$2:$G$745,"jan26")</f>
        <v>-97216</v>
      </c>
      <c r="E42" s="8">
        <f>SUMIFS('ledger'!$F$2:$F$745,'ledger'!$C$2:$C$745,"=us",'ledger'!$D$2:$D$745,"=customer_success",'ledger'!$E$2:$E$745,"=salaries",'ledger'!$G$2:$G$745,"feb26")</f>
        <v>-129293</v>
      </c>
      <c r="F42" s="8">
        <f>SUMIFS('ledger'!$F$2:$F$745,'ledger'!$C$2:$C$745,"=us",'ledger'!$D$2:$D$745,"=customer_success",'ledger'!$E$2:$E$745,"=salaries",'ledger'!$G$2:$G$745,"mar26")</f>
        <v>-116378</v>
      </c>
      <c r="G42" s="8">
        <f>SUMIFS('ledger'!$F$2:$F$745,'ledger'!$C$2:$C$745,"=us",'ledger'!$D$2:$D$745,"=customer_success",'ledger'!$E$2:$E$745,"=salaries",'ledger'!$G$2:$G$745,"apr26")</f>
        <v>-125083</v>
      </c>
      <c r="H42" s="8">
        <f>SUMIFS('ledger'!$F$2:$F$745,'ledger'!$C$2:$C$745,"=us",'ledger'!$D$2:$D$745,"=customer_success",'ledger'!$E$2:$E$745,"=salaries",'ledger'!$G$2:$G$745,"may26")</f>
        <v>-121837</v>
      </c>
      <c r="I42" s="8">
        <f>SUMIFS('ledger'!$F$2:$F$745,'ledger'!$C$2:$C$745,"=us",'ledger'!$D$2:$D$745,"=customer_success",'ledger'!$E$2:$E$745,"=salaries",'ledger'!$G$2:$G$745,"jun26")</f>
        <v>-130875</v>
      </c>
      <c r="J42" s="8">
        <f>SUMIFS('ledger'!$F$2:$F$745,'ledger'!$C$2:$C$745,"=us",'ledger'!$D$2:$D$745,"=customer_success",'ledger'!$E$2:$E$745,"=salaries",'ledger'!$G$2:$G$745,"jul26")</f>
        <v>-132654</v>
      </c>
      <c r="K42" s="8">
        <f>SUMIFS('ledger'!$F$2:$F$745,'ledger'!$C$2:$C$745,"=us",'ledger'!$D$2:$D$745,"=customer_success",'ledger'!$E$2:$E$745,"=salaries",'ledger'!$G$2:$G$745,"aug26")</f>
        <v>-144753</v>
      </c>
      <c r="L42" s="8">
        <f>'Headcount plan'!L30</f>
        <v>-137500</v>
      </c>
      <c r="M42" s="8">
        <f>'Headcount plan'!M30</f>
        <v>-146666.66666666666</v>
      </c>
      <c r="N42" s="8">
        <f>'Headcount plan'!N30</f>
        <v>-146666.66666666666</v>
      </c>
      <c r="O42" s="8">
        <f>'Headcount plan'!O30</f>
        <v>-146666.66666666666</v>
      </c>
    </row>
    <row r="43">
      <c r="A43" s="0" t="inlineStr">
        <is>
          <t xml:space="preserve">Salaries</t>
        </is>
      </c>
      <c r="B43" s="0" t="inlineStr">
        <is>
          <t xml:space="preserve">United States</t>
        </is>
      </c>
      <c r="C43" s="0" t="inlineStr">
        <is>
          <t xml:space="preserve">G&amp;A</t>
        </is>
      </c>
      <c r="D43" s="4">
        <f>SUMIFS('ledger'!$F$2:$F$745,'ledger'!$C$2:$C$745,"=us",'ledger'!$D$2:$D$745,"=g_and_a",'ledger'!$E$2:$E$745,"=salaries",'ledger'!$G$2:$G$745,"jan26")</f>
        <v>-118201</v>
      </c>
      <c r="E43" s="4">
        <f>SUMIFS('ledger'!$F$2:$F$745,'ledger'!$C$2:$C$745,"=us",'ledger'!$D$2:$D$745,"=g_and_a",'ledger'!$E$2:$E$745,"=salaries",'ledger'!$G$2:$G$745,"feb26")</f>
        <v>-132880</v>
      </c>
      <c r="F43" s="4">
        <f>SUMIFS('ledger'!$F$2:$F$745,'ledger'!$C$2:$C$745,"=us",'ledger'!$D$2:$D$745,"=g_and_a",'ledger'!$E$2:$E$745,"=salaries",'ledger'!$G$2:$G$745,"mar26")</f>
        <v>-123630</v>
      </c>
      <c r="G43" s="4">
        <f>SUMIFS('ledger'!$F$2:$F$745,'ledger'!$C$2:$C$745,"=us",'ledger'!$D$2:$D$745,"=g_and_a",'ledger'!$E$2:$E$745,"=salaries",'ledger'!$G$2:$G$745,"apr26")</f>
        <v>-136182</v>
      </c>
      <c r="H43" s="4">
        <f>SUMIFS('ledger'!$F$2:$F$745,'ledger'!$C$2:$C$745,"=us",'ledger'!$D$2:$D$745,"=g_and_a",'ledger'!$E$2:$E$745,"=salaries",'ledger'!$G$2:$G$745,"may26")</f>
        <v>-137379</v>
      </c>
      <c r="I43" s="4">
        <f>SUMIFS('ledger'!$F$2:$F$745,'ledger'!$C$2:$C$745,"=us",'ledger'!$D$2:$D$745,"=g_and_a",'ledger'!$E$2:$E$745,"=salaries",'ledger'!$G$2:$G$745,"jun26")</f>
        <v>-142220</v>
      </c>
      <c r="J43" s="4">
        <f>SUMIFS('ledger'!$F$2:$F$745,'ledger'!$C$2:$C$745,"=us",'ledger'!$D$2:$D$745,"=g_and_a",'ledger'!$E$2:$E$745,"=salaries",'ledger'!$G$2:$G$745,"jul26")</f>
        <v>-145483</v>
      </c>
      <c r="K43" s="4">
        <f>SUMIFS('ledger'!$F$2:$F$745,'ledger'!$C$2:$C$745,"=us",'ledger'!$D$2:$D$745,"=g_and_a",'ledger'!$E$2:$E$745,"=salaries",'ledger'!$G$2:$G$745,"aug26")</f>
        <v>-139270</v>
      </c>
      <c r="L43" s="4">
        <f>'Headcount plan'!L31</f>
        <v>-150000</v>
      </c>
      <c r="M43" s="4">
        <f>'Headcount plan'!M31</f>
        <v>-150000</v>
      </c>
      <c r="N43" s="4">
        <f>'Headcount plan'!N31</f>
        <v>-150000</v>
      </c>
      <c r="O43" s="4">
        <f>'Headcount plan'!O31</f>
        <v>-150000</v>
      </c>
    </row>
    <row r="44">
      <c r="A44" s="0" t="inlineStr">
        <is>
          <t xml:space="preserve">Salaries</t>
        </is>
      </c>
      <c r="B44" s="0" t="inlineStr">
        <is>
          <t xml:space="preserve">United Kingdom</t>
        </is>
      </c>
      <c r="C44" s="0" t="inlineStr">
        <is>
          <t xml:space="preserve">Company (revenue and cost of revenue)</t>
        </is>
      </c>
      <c r="D44" s="4">
        <f>SUMIFS('ledger'!$F$2:$F$745,'ledger'!$C$2:$C$745,"=uk",'ledger'!$D$2:$D$745,"=company",'ledger'!$E$2:$E$745,"=salaries",'ledger'!$G$2:$G$745,"jan26")</f>
        <v>0</v>
      </c>
      <c r="E44" s="4">
        <f>SUMIFS('ledger'!$F$2:$F$745,'ledger'!$C$2:$C$745,"=uk",'ledger'!$D$2:$D$745,"=company",'ledger'!$E$2:$E$745,"=salaries",'ledger'!$G$2:$G$745,"feb26")</f>
        <v>0</v>
      </c>
      <c r="F44" s="4">
        <f>SUMIFS('ledger'!$F$2:$F$745,'ledger'!$C$2:$C$745,"=uk",'ledger'!$D$2:$D$745,"=company",'ledger'!$E$2:$E$745,"=salaries",'ledger'!$G$2:$G$745,"mar26")</f>
        <v>0</v>
      </c>
      <c r="G44" s="4">
        <f>SUMIFS('ledger'!$F$2:$F$745,'ledger'!$C$2:$C$745,"=uk",'ledger'!$D$2:$D$745,"=company",'ledger'!$E$2:$E$745,"=salaries",'ledger'!$G$2:$G$745,"apr26")</f>
        <v>0</v>
      </c>
      <c r="H44" s="4">
        <f>SUMIFS('ledger'!$F$2:$F$745,'ledger'!$C$2:$C$745,"=uk",'ledger'!$D$2:$D$745,"=company",'ledger'!$E$2:$E$745,"=salaries",'ledger'!$G$2:$G$745,"may26")</f>
        <v>0</v>
      </c>
      <c r="I44" s="4">
        <f>SUMIFS('ledger'!$F$2:$F$745,'ledger'!$C$2:$C$745,"=uk",'ledger'!$D$2:$D$745,"=company",'ledger'!$E$2:$E$745,"=salaries",'ledger'!$G$2:$G$745,"jun26")</f>
        <v>0</v>
      </c>
      <c r="J44" s="4">
        <f>SUMIFS('ledger'!$F$2:$F$745,'ledger'!$C$2:$C$745,"=uk",'ledger'!$D$2:$D$745,"=company",'ledger'!$E$2:$E$745,"=salaries",'ledger'!$G$2:$G$745,"jul26")</f>
        <v>0</v>
      </c>
      <c r="K44" s="4">
        <f>SUMIFS('ledger'!$F$2:$F$745,'ledger'!$C$2:$C$745,"=uk",'ledger'!$D$2:$D$745,"=company",'ledger'!$E$2:$E$745,"=salaries",'ledger'!$G$2:$G$745,"aug26")</f>
        <v>0</v>
      </c>
      <c r="L44" s="4">
        <f>'Headcount plan'!L32</f>
        <v>0</v>
      </c>
      <c r="M44" s="4">
        <f>'Headcount plan'!M32</f>
        <v>0</v>
      </c>
      <c r="N44" s="4">
        <f>'Headcount plan'!N32</f>
        <v>0</v>
      </c>
      <c r="O44" s="4">
        <f>'Headcount plan'!O32</f>
        <v>0</v>
      </c>
    </row>
    <row r="45">
      <c r="A45" s="0" t="inlineStr">
        <is>
          <t xml:space="preserve">Salaries</t>
        </is>
      </c>
      <c r="B45" s="0" t="inlineStr">
        <is>
          <t xml:space="preserve">United Kingdom</t>
        </is>
      </c>
      <c r="C45" s="0" t="inlineStr">
        <is>
          <t xml:space="preserve">Sales</t>
        </is>
      </c>
      <c r="D45" s="4">
        <f>SUMIFS('ledger'!$F$2:$F$745,'ledger'!$C$2:$C$745,"=uk",'ledger'!$D$2:$D$745,"=sales",'ledger'!$E$2:$E$745,"=salaries",'ledger'!$G$2:$G$745,"jan26")</f>
        <v>-107807</v>
      </c>
      <c r="E45" s="4">
        <f>SUMIFS('ledger'!$F$2:$F$745,'ledger'!$C$2:$C$745,"=uk",'ledger'!$D$2:$D$745,"=sales",'ledger'!$E$2:$E$745,"=salaries",'ledger'!$G$2:$G$745,"feb26")</f>
        <v>-102751</v>
      </c>
      <c r="F45" s="4">
        <f>SUMIFS('ledger'!$F$2:$F$745,'ledger'!$C$2:$C$745,"=uk",'ledger'!$D$2:$D$745,"=sales",'ledger'!$E$2:$E$745,"=salaries",'ledger'!$G$2:$G$745,"mar26")</f>
        <v>-104991</v>
      </c>
      <c r="G45" s="4">
        <f>SUMIFS('ledger'!$F$2:$F$745,'ledger'!$C$2:$C$745,"=uk",'ledger'!$D$2:$D$745,"=sales",'ledger'!$E$2:$E$745,"=salaries",'ledger'!$G$2:$G$745,"apr26")</f>
        <v>-96613</v>
      </c>
      <c r="H45" s="4">
        <f>SUMIFS('ledger'!$F$2:$F$745,'ledger'!$C$2:$C$745,"=uk",'ledger'!$D$2:$D$745,"=sales",'ledger'!$E$2:$E$745,"=salaries",'ledger'!$G$2:$G$745,"may26")</f>
        <v>-114264</v>
      </c>
      <c r="I45" s="4">
        <f>SUMIFS('ledger'!$F$2:$F$745,'ledger'!$C$2:$C$745,"=uk",'ledger'!$D$2:$D$745,"=sales",'ledger'!$E$2:$E$745,"=salaries",'ledger'!$G$2:$G$745,"jun26")</f>
        <v>-107649</v>
      </c>
      <c r="J45" s="4">
        <f>SUMIFS('ledger'!$F$2:$F$745,'ledger'!$C$2:$C$745,"=uk",'ledger'!$D$2:$D$745,"=sales",'ledger'!$E$2:$E$745,"=salaries",'ledger'!$G$2:$G$745,"jul26")</f>
        <v>-104386</v>
      </c>
      <c r="K45" s="4">
        <f>SUMIFS('ledger'!$F$2:$F$745,'ledger'!$C$2:$C$745,"=uk",'ledger'!$D$2:$D$745,"=sales",'ledger'!$E$2:$E$745,"=salaries",'ledger'!$G$2:$G$745,"aug26")</f>
        <v>-102538</v>
      </c>
      <c r="L45" s="4">
        <f>'Headcount plan'!L33</f>
        <v>-140000</v>
      </c>
      <c r="M45" s="4">
        <f>'Headcount plan'!M33</f>
        <v>-140000</v>
      </c>
      <c r="N45" s="4">
        <f>'Headcount plan'!N33</f>
        <v>-140000</v>
      </c>
      <c r="O45" s="4">
        <f>'Headcount plan'!O33</f>
        <v>-140000</v>
      </c>
    </row>
    <row r="46">
      <c r="A46" s="0" t="inlineStr">
        <is>
          <t xml:space="preserve">Salaries</t>
        </is>
      </c>
      <c r="B46" s="0" t="inlineStr">
        <is>
          <t xml:space="preserve">United Kingdom</t>
        </is>
      </c>
      <c r="C46" s="0" t="inlineStr">
        <is>
          <t xml:space="preserve">Marketing</t>
        </is>
      </c>
      <c r="D46" s="4">
        <f>SUMIFS('ledger'!$F$2:$F$745,'ledger'!$C$2:$C$745,"=uk",'ledger'!$D$2:$D$745,"=marketing",'ledger'!$E$2:$E$745,"=salaries",'ledger'!$G$2:$G$745,"jan26")</f>
        <v>-41807</v>
      </c>
      <c r="E46" s="4">
        <f>SUMIFS('ledger'!$F$2:$F$745,'ledger'!$C$2:$C$745,"=uk",'ledger'!$D$2:$D$745,"=marketing",'ledger'!$E$2:$E$745,"=salaries",'ledger'!$G$2:$G$745,"feb26")</f>
        <v>-41127</v>
      </c>
      <c r="F46" s="4">
        <f>SUMIFS('ledger'!$F$2:$F$745,'ledger'!$C$2:$C$745,"=uk",'ledger'!$D$2:$D$745,"=marketing",'ledger'!$E$2:$E$745,"=salaries",'ledger'!$G$2:$G$745,"mar26")</f>
        <v>-54274</v>
      </c>
      <c r="G46" s="4">
        <f>SUMIFS('ledger'!$F$2:$F$745,'ledger'!$C$2:$C$745,"=uk",'ledger'!$D$2:$D$745,"=marketing",'ledger'!$E$2:$E$745,"=salaries",'ledger'!$G$2:$G$745,"apr26")</f>
        <v>-48926</v>
      </c>
      <c r="H46" s="4">
        <f>SUMIFS('ledger'!$F$2:$F$745,'ledger'!$C$2:$C$745,"=uk",'ledger'!$D$2:$D$745,"=marketing",'ledger'!$E$2:$E$745,"=salaries",'ledger'!$G$2:$G$745,"may26")</f>
        <v>-52481</v>
      </c>
      <c r="I46" s="4">
        <f>SUMIFS('ledger'!$F$2:$F$745,'ledger'!$C$2:$C$745,"=uk",'ledger'!$D$2:$D$745,"=marketing",'ledger'!$E$2:$E$745,"=salaries",'ledger'!$G$2:$G$745,"jun26")</f>
        <v>-50528</v>
      </c>
      <c r="J46" s="4">
        <f>SUMIFS('ledger'!$F$2:$F$745,'ledger'!$C$2:$C$745,"=uk",'ledger'!$D$2:$D$745,"=marketing",'ledger'!$E$2:$E$745,"=salaries",'ledger'!$G$2:$G$745,"jul26")</f>
        <v>-61037</v>
      </c>
      <c r="K46" s="4">
        <f>SUMIFS('ledger'!$F$2:$F$745,'ledger'!$C$2:$C$745,"=uk",'ledger'!$D$2:$D$745,"=marketing",'ledger'!$E$2:$E$745,"=salaries",'ledger'!$G$2:$G$745,"aug26")</f>
        <v>-57649</v>
      </c>
      <c r="L46" s="4">
        <f>'Headcount plan'!L34</f>
        <v>-59500</v>
      </c>
      <c r="M46" s="4">
        <f>'Headcount plan'!M34</f>
        <v>-59500</v>
      </c>
      <c r="N46" s="4">
        <f>'Headcount plan'!N34</f>
        <v>-59500</v>
      </c>
      <c r="O46" s="4">
        <f>'Headcount plan'!O34</f>
        <v>-59500</v>
      </c>
    </row>
    <row r="47">
      <c r="A47" s="0" t="inlineStr">
        <is>
          <t xml:space="preserve">Salaries</t>
        </is>
      </c>
      <c r="B47" s="0" t="inlineStr">
        <is>
          <t xml:space="preserve">United Kingdom</t>
        </is>
      </c>
      <c r="C47" s="0" t="inlineStr">
        <is>
          <t xml:space="preserve">Engineering</t>
        </is>
      </c>
      <c r="D47" s="4">
        <f>SUMIFS('ledger'!$F$2:$F$745,'ledger'!$C$2:$C$745,"=uk",'ledger'!$D$2:$D$745,"=engineering",'ledger'!$E$2:$E$745,"=salaries",'ledger'!$G$2:$G$745,"jan26")</f>
        <v>-210545</v>
      </c>
      <c r="E47" s="4">
        <f>SUMIFS('ledger'!$F$2:$F$745,'ledger'!$C$2:$C$745,"=uk",'ledger'!$D$2:$D$745,"=engineering",'ledger'!$E$2:$E$745,"=salaries",'ledger'!$G$2:$G$745,"feb26")</f>
        <v>-245903</v>
      </c>
      <c r="F47" s="4">
        <f>SUMIFS('ledger'!$F$2:$F$745,'ledger'!$C$2:$C$745,"=uk",'ledger'!$D$2:$D$745,"=engineering",'ledger'!$E$2:$E$745,"=salaries",'ledger'!$G$2:$G$745,"mar26")</f>
        <v>-260203</v>
      </c>
      <c r="G47" s="4">
        <f>SUMIFS('ledger'!$F$2:$F$745,'ledger'!$C$2:$C$745,"=uk",'ledger'!$D$2:$D$745,"=engineering",'ledger'!$E$2:$E$745,"=salaries",'ledger'!$G$2:$G$745,"apr26")</f>
        <v>-257552</v>
      </c>
      <c r="H47" s="4">
        <f>SUMIFS('ledger'!$F$2:$F$745,'ledger'!$C$2:$C$745,"=uk",'ledger'!$D$2:$D$745,"=engineering",'ledger'!$E$2:$E$745,"=salaries",'ledger'!$G$2:$G$745,"may26")</f>
        <v>-243600</v>
      </c>
      <c r="I47" s="4">
        <f>SUMIFS('ledger'!$F$2:$F$745,'ledger'!$C$2:$C$745,"=uk",'ledger'!$D$2:$D$745,"=engineering",'ledger'!$E$2:$E$745,"=salaries",'ledger'!$G$2:$G$745,"jun26")</f>
        <v>-271505</v>
      </c>
      <c r="J47" s="4">
        <f>SUMIFS('ledger'!$F$2:$F$745,'ledger'!$C$2:$C$745,"=uk",'ledger'!$D$2:$D$745,"=engineering",'ledger'!$E$2:$E$745,"=salaries",'ledger'!$G$2:$G$745,"jul26")</f>
        <v>-330478</v>
      </c>
      <c r="K47" s="4">
        <f>SUMIFS('ledger'!$F$2:$F$745,'ledger'!$C$2:$C$745,"=uk",'ledger'!$D$2:$D$745,"=engineering",'ledger'!$E$2:$E$745,"=salaries",'ledger'!$G$2:$G$745,"aug26")</f>
        <v>-274849</v>
      </c>
      <c r="L47" s="4">
        <f>'Headcount plan'!L35</f>
        <v>-337500</v>
      </c>
      <c r="M47" s="4">
        <f>'Headcount plan'!M35</f>
        <v>-337500</v>
      </c>
      <c r="N47" s="4">
        <f>'Headcount plan'!N35</f>
        <v>-351000</v>
      </c>
      <c r="O47" s="4">
        <f>'Headcount plan'!O35</f>
        <v>-351000</v>
      </c>
    </row>
    <row r="48">
      <c r="A48" s="0" t="inlineStr">
        <is>
          <t xml:space="preserve">Salaries</t>
        </is>
      </c>
      <c r="B48" s="0" t="inlineStr">
        <is>
          <t xml:space="preserve">United Kingdom</t>
        </is>
      </c>
      <c r="C48" s="0" t="inlineStr">
        <is>
          <t xml:space="preserve">Customer success</t>
        </is>
      </c>
      <c r="D48" s="4">
        <f>SUMIFS('ledger'!$F$2:$F$745,'ledger'!$C$2:$C$745,"=uk",'ledger'!$D$2:$D$745,"=customer_success",'ledger'!$E$2:$E$745,"=salaries",'ledger'!$G$2:$G$745,"jan26")</f>
        <v>-40115</v>
      </c>
      <c r="E48" s="4">
        <f>SUMIFS('ledger'!$F$2:$F$745,'ledger'!$C$2:$C$745,"=uk",'ledger'!$D$2:$D$745,"=customer_success",'ledger'!$E$2:$E$745,"=salaries",'ledger'!$G$2:$G$745,"feb26")</f>
        <v>-37833</v>
      </c>
      <c r="F48" s="4">
        <f>SUMIFS('ledger'!$F$2:$F$745,'ledger'!$C$2:$C$745,"=uk",'ledger'!$D$2:$D$745,"=customer_success",'ledger'!$E$2:$E$745,"=salaries",'ledger'!$G$2:$G$745,"mar26")</f>
        <v>-42120</v>
      </c>
      <c r="G48" s="4">
        <f>SUMIFS('ledger'!$F$2:$F$745,'ledger'!$C$2:$C$745,"=uk",'ledger'!$D$2:$D$745,"=customer_success",'ledger'!$E$2:$E$745,"=salaries",'ledger'!$G$2:$G$745,"apr26")</f>
        <v>-38369</v>
      </c>
      <c r="H48" s="4">
        <f>SUMIFS('ledger'!$F$2:$F$745,'ledger'!$C$2:$C$745,"=uk",'ledger'!$D$2:$D$745,"=customer_success",'ledger'!$E$2:$E$745,"=salaries",'ledger'!$G$2:$G$745,"may26")</f>
        <v>-48255</v>
      </c>
      <c r="I48" s="4">
        <f>SUMIFS('ledger'!$F$2:$F$745,'ledger'!$C$2:$C$745,"=uk",'ledger'!$D$2:$D$745,"=customer_success",'ledger'!$E$2:$E$745,"=salaries",'ledger'!$G$2:$G$745,"jun26")</f>
        <v>-46644</v>
      </c>
      <c r="J48" s="4">
        <f>SUMIFS('ledger'!$F$2:$F$745,'ledger'!$C$2:$C$745,"=uk",'ledger'!$D$2:$D$745,"=customer_success",'ledger'!$E$2:$E$745,"=salaries",'ledger'!$G$2:$G$745,"jul26")</f>
        <v>-47230</v>
      </c>
      <c r="K48" s="4">
        <f>SUMIFS('ledger'!$F$2:$F$745,'ledger'!$C$2:$C$745,"=uk",'ledger'!$D$2:$D$745,"=customer_success",'ledger'!$E$2:$E$745,"=salaries",'ledger'!$G$2:$G$745,"aug26")</f>
        <v>-47453</v>
      </c>
      <c r="L48" s="4">
        <f>'Headcount plan'!L36</f>
        <v>-47000</v>
      </c>
      <c r="M48" s="4">
        <f>'Headcount plan'!M36</f>
        <v>-47000</v>
      </c>
      <c r="N48" s="4">
        <f>'Headcount plan'!N36</f>
        <v>-47000</v>
      </c>
      <c r="O48" s="4">
        <f>'Headcount plan'!O36</f>
        <v>-47000</v>
      </c>
    </row>
    <row r="49">
      <c r="A49" s="0" t="inlineStr">
        <is>
          <t xml:space="preserve">Salaries</t>
        </is>
      </c>
      <c r="B49" s="0" t="inlineStr">
        <is>
          <t xml:space="preserve">United Kingdom</t>
        </is>
      </c>
      <c r="C49" s="0" t="inlineStr">
        <is>
          <t xml:space="preserve">G&amp;A</t>
        </is>
      </c>
      <c r="D49" s="8">
        <f>SUMIFS('ledger'!$F$2:$F$745,'ledger'!$C$2:$C$745,"=uk",'ledger'!$D$2:$D$745,"=g_and_a",'ledger'!$E$2:$E$745,"=salaries",'ledger'!$G$2:$G$745,"jan26")</f>
        <v>-42626</v>
      </c>
      <c r="E49" s="8">
        <f>SUMIFS('ledger'!$F$2:$F$745,'ledger'!$C$2:$C$745,"=uk",'ledger'!$D$2:$D$745,"=g_and_a",'ledger'!$E$2:$E$745,"=salaries",'ledger'!$G$2:$G$745,"feb26")</f>
        <v>-42732</v>
      </c>
      <c r="F49" s="8">
        <f>SUMIFS('ledger'!$F$2:$F$745,'ledger'!$C$2:$C$745,"=uk",'ledger'!$D$2:$D$745,"=g_and_a",'ledger'!$E$2:$E$745,"=salaries",'ledger'!$G$2:$G$745,"mar26")</f>
        <v>-45785</v>
      </c>
      <c r="G49" s="8">
        <f>SUMIFS('ledger'!$F$2:$F$745,'ledger'!$C$2:$C$745,"=uk",'ledger'!$D$2:$D$745,"=g_and_a",'ledger'!$E$2:$E$745,"=salaries",'ledger'!$G$2:$G$745,"apr26")</f>
        <v>-43607</v>
      </c>
      <c r="H49" s="8">
        <f>SUMIFS('ledger'!$F$2:$F$745,'ledger'!$C$2:$C$745,"=uk",'ledger'!$D$2:$D$745,"=g_and_a",'ledger'!$E$2:$E$745,"=salaries",'ledger'!$G$2:$G$745,"may26")</f>
        <v>-42907</v>
      </c>
      <c r="I49" s="8">
        <f>SUMIFS('ledger'!$F$2:$F$745,'ledger'!$C$2:$C$745,"=uk",'ledger'!$D$2:$D$745,"=g_and_a",'ledger'!$E$2:$E$745,"=salaries",'ledger'!$G$2:$G$745,"jun26")</f>
        <v>-42749</v>
      </c>
      <c r="J49" s="8">
        <f>SUMIFS('ledger'!$F$2:$F$745,'ledger'!$C$2:$C$745,"=uk",'ledger'!$D$2:$D$745,"=g_and_a",'ledger'!$E$2:$E$745,"=salaries",'ledger'!$G$2:$G$745,"jul26")</f>
        <v>-41177</v>
      </c>
      <c r="K49" s="8">
        <f>SUMIFS('ledger'!$F$2:$F$745,'ledger'!$C$2:$C$745,"=uk",'ledger'!$D$2:$D$745,"=g_and_a",'ledger'!$E$2:$E$745,"=salaries",'ledger'!$G$2:$G$745,"aug26")</f>
        <v>-41301</v>
      </c>
      <c r="L49" s="8">
        <f>'Headcount plan'!L37</f>
        <v>-53333.333333333336</v>
      </c>
      <c r="M49" s="8">
        <f>'Headcount plan'!M37</f>
        <v>-53333.333333333336</v>
      </c>
      <c r="N49" s="8">
        <f>'Headcount plan'!N37</f>
        <v>-53333.333333333336</v>
      </c>
      <c r="O49" s="8">
        <f>'Headcount plan'!O37</f>
        <v>-53333.333333333336</v>
      </c>
    </row>
    <row r="50">
      <c r="A50" s="0" t="inlineStr">
        <is>
          <t xml:space="preserve">Benefits and payroll taxes</t>
        </is>
      </c>
      <c r="B50" s="0" t="inlineStr">
        <is>
          <t xml:space="preserve">United States</t>
        </is>
      </c>
      <c r="C50" s="0" t="inlineStr">
        <is>
          <t xml:space="preserve">Company (revenue and cost of revenue)</t>
        </is>
      </c>
      <c r="D50" s="4">
        <f>SUMIFS('ledger'!$F$2:$F$745,'ledger'!$C$2:$C$745,"=us",'ledger'!$D$2:$D$745,"=company",'ledger'!$E$2:$E$745,"=benefits",'ledger'!$G$2:$G$745,"jan26")</f>
        <v>0</v>
      </c>
      <c r="E50" s="4">
        <f>SUMIFS('ledger'!$F$2:$F$745,'ledger'!$C$2:$C$745,"=us",'ledger'!$D$2:$D$745,"=company",'ledger'!$E$2:$E$745,"=benefits",'ledger'!$G$2:$G$745,"feb26")</f>
        <v>0</v>
      </c>
      <c r="F50" s="4">
        <f>SUMIFS('ledger'!$F$2:$F$745,'ledger'!$C$2:$C$745,"=us",'ledger'!$D$2:$D$745,"=company",'ledger'!$E$2:$E$745,"=benefits",'ledger'!$G$2:$G$745,"mar26")</f>
        <v>0</v>
      </c>
      <c r="G50" s="4">
        <f>SUMIFS('ledger'!$F$2:$F$745,'ledger'!$C$2:$C$745,"=us",'ledger'!$D$2:$D$745,"=company",'ledger'!$E$2:$E$745,"=benefits",'ledger'!$G$2:$G$745,"apr26")</f>
        <v>0</v>
      </c>
      <c r="H50" s="4">
        <f>SUMIFS('ledger'!$F$2:$F$745,'ledger'!$C$2:$C$745,"=us",'ledger'!$D$2:$D$745,"=company",'ledger'!$E$2:$E$745,"=benefits",'ledger'!$G$2:$G$745,"may26")</f>
        <v>0</v>
      </c>
      <c r="I50" s="4">
        <f>SUMIFS('ledger'!$F$2:$F$745,'ledger'!$C$2:$C$745,"=us",'ledger'!$D$2:$D$745,"=company",'ledger'!$E$2:$E$745,"=benefits",'ledger'!$G$2:$G$745,"jun26")</f>
        <v>0</v>
      </c>
      <c r="J50" s="4">
        <f>SUMIFS('ledger'!$F$2:$F$745,'ledger'!$C$2:$C$745,"=us",'ledger'!$D$2:$D$745,"=company",'ledger'!$E$2:$E$745,"=benefits",'ledger'!$G$2:$G$745,"jul26")</f>
        <v>0</v>
      </c>
      <c r="K50" s="4">
        <f>SUMIFS('ledger'!$F$2:$F$745,'ledger'!$C$2:$C$745,"=us",'ledger'!$D$2:$D$745,"=company",'ledger'!$E$2:$E$745,"=benefits",'ledger'!$G$2:$G$745,"aug26")</f>
        <v>0</v>
      </c>
      <c r="L50" s="4">
        <f>(L38*'Forecast drivers'!J5)</f>
        <v>0</v>
      </c>
      <c r="M50" s="4">
        <f>(M38*'Forecast drivers'!K5)</f>
        <v>0</v>
      </c>
      <c r="N50" s="4">
        <f>(N38*'Forecast drivers'!L5)</f>
        <v>0</v>
      </c>
      <c r="O50" s="4">
        <f>(O38*'Forecast drivers'!M5)</f>
        <v>0</v>
      </c>
    </row>
    <row r="51">
      <c r="A51" s="0" t="inlineStr">
        <is>
          <t xml:space="preserve">Benefits and payroll taxes</t>
        </is>
      </c>
      <c r="B51" s="0" t="inlineStr">
        <is>
          <t xml:space="preserve">United States</t>
        </is>
      </c>
      <c r="C51" s="0" t="inlineStr">
        <is>
          <t xml:space="preserve">Sales</t>
        </is>
      </c>
      <c r="D51" s="8">
        <f>SUMIFS('ledger'!$F$2:$F$745,'ledger'!$C$2:$C$745,"=us",'ledger'!$D$2:$D$745,"=sales",'ledger'!$E$2:$E$745,"=benefits",'ledger'!$G$2:$G$745,"jan26")</f>
        <v>-66712</v>
      </c>
      <c r="E51" s="8">
        <f>SUMIFS('ledger'!$F$2:$F$745,'ledger'!$C$2:$C$745,"=us",'ledger'!$D$2:$D$745,"=sales",'ledger'!$E$2:$E$745,"=benefits",'ledger'!$G$2:$G$745,"feb26")</f>
        <v>-65892</v>
      </c>
      <c r="F51" s="8">
        <f>SUMIFS('ledger'!$F$2:$F$745,'ledger'!$C$2:$C$745,"=us",'ledger'!$D$2:$D$745,"=sales",'ledger'!$E$2:$E$745,"=benefits",'ledger'!$G$2:$G$745,"mar26")</f>
        <v>-65612</v>
      </c>
      <c r="G51" s="8">
        <f>SUMIFS('ledger'!$F$2:$F$745,'ledger'!$C$2:$C$745,"=us",'ledger'!$D$2:$D$745,"=sales",'ledger'!$E$2:$E$745,"=benefits",'ledger'!$G$2:$G$745,"apr26")</f>
        <v>-73437</v>
      </c>
      <c r="H51" s="8">
        <f>SUMIFS('ledger'!$F$2:$F$745,'ledger'!$C$2:$C$745,"=us",'ledger'!$D$2:$D$745,"=sales",'ledger'!$E$2:$E$745,"=benefits",'ledger'!$G$2:$G$745,"may26")</f>
        <v>-68526</v>
      </c>
      <c r="I51" s="8">
        <f>SUMIFS('ledger'!$F$2:$F$745,'ledger'!$C$2:$C$745,"=us",'ledger'!$D$2:$D$745,"=sales",'ledger'!$E$2:$E$745,"=benefits",'ledger'!$G$2:$G$745,"jun26")</f>
        <v>-69735</v>
      </c>
      <c r="J51" s="8">
        <f>SUMIFS('ledger'!$F$2:$F$745,'ledger'!$C$2:$C$745,"=us",'ledger'!$D$2:$D$745,"=sales",'ledger'!$E$2:$E$745,"=benefits",'ledger'!$G$2:$G$745,"jul26")</f>
        <v>-68580</v>
      </c>
      <c r="K51" s="8">
        <f>SUMIFS('ledger'!$F$2:$F$745,'ledger'!$C$2:$C$745,"=us",'ledger'!$D$2:$D$745,"=sales",'ledger'!$E$2:$E$745,"=benefits",'ledger'!$G$2:$G$745,"aug26")</f>
        <v>-75337</v>
      </c>
      <c r="L51" s="8">
        <f>(L39*'Forecast drivers'!J5)</f>
        <v>-85332.5</v>
      </c>
      <c r="M51" s="8">
        <f>(M39*'Forecast drivers'!K5)</f>
        <v>-88275</v>
      </c>
      <c r="N51" s="8">
        <f>(N39*'Forecast drivers'!L5)</f>
        <v>-88275</v>
      </c>
      <c r="O51" s="8">
        <f>(O39*'Forecast drivers'!M5)</f>
        <v>-91217.5</v>
      </c>
    </row>
    <row r="52">
      <c r="A52" s="0" t="inlineStr">
        <is>
          <t xml:space="preserve">Benefits and payroll taxes</t>
        </is>
      </c>
      <c r="B52" s="0" t="inlineStr">
        <is>
          <t xml:space="preserve">United States</t>
        </is>
      </c>
      <c r="C52" s="0" t="inlineStr">
        <is>
          <t xml:space="preserve">Marketing</t>
        </is>
      </c>
      <c r="D52" s="8">
        <f>SUMIFS('ledger'!$F$2:$F$745,'ledger'!$C$2:$C$745,"=us",'ledger'!$D$2:$D$745,"=marketing",'ledger'!$E$2:$E$745,"=benefits",'ledger'!$G$2:$G$745,"jan26")</f>
        <v>-22212</v>
      </c>
      <c r="E52" s="8">
        <f>SUMIFS('ledger'!$F$2:$F$745,'ledger'!$C$2:$C$745,"=us",'ledger'!$D$2:$D$745,"=marketing",'ledger'!$E$2:$E$745,"=benefits",'ledger'!$G$2:$G$745,"feb26")</f>
        <v>-22691</v>
      </c>
      <c r="F52" s="8">
        <f>SUMIFS('ledger'!$F$2:$F$745,'ledger'!$C$2:$C$745,"=us",'ledger'!$D$2:$D$745,"=marketing",'ledger'!$E$2:$E$745,"=benefits",'ledger'!$G$2:$G$745,"mar26")</f>
        <v>-25215</v>
      </c>
      <c r="G52" s="8">
        <f>SUMIFS('ledger'!$F$2:$F$745,'ledger'!$C$2:$C$745,"=us",'ledger'!$D$2:$D$745,"=marketing",'ledger'!$E$2:$E$745,"=benefits",'ledger'!$G$2:$G$745,"apr26")</f>
        <v>-24989</v>
      </c>
      <c r="H52" s="8">
        <f>SUMIFS('ledger'!$F$2:$F$745,'ledger'!$C$2:$C$745,"=us",'ledger'!$D$2:$D$745,"=marketing",'ledger'!$E$2:$E$745,"=benefits",'ledger'!$G$2:$G$745,"may26")</f>
        <v>-24848</v>
      </c>
      <c r="I52" s="8">
        <f>SUMIFS('ledger'!$F$2:$F$745,'ledger'!$C$2:$C$745,"=us",'ledger'!$D$2:$D$745,"=marketing",'ledger'!$E$2:$E$745,"=benefits",'ledger'!$G$2:$G$745,"jun26")</f>
        <v>-26927</v>
      </c>
      <c r="J52" s="8">
        <f>SUMIFS('ledger'!$F$2:$F$745,'ledger'!$C$2:$C$745,"=us",'ledger'!$D$2:$D$745,"=marketing",'ledger'!$E$2:$E$745,"=benefits",'ledger'!$G$2:$G$745,"jul26")</f>
        <v>-27433</v>
      </c>
      <c r="K52" s="8">
        <f>SUMIFS('ledger'!$F$2:$F$745,'ledger'!$C$2:$C$745,"=us",'ledger'!$D$2:$D$745,"=marketing",'ledger'!$E$2:$E$745,"=benefits",'ledger'!$G$2:$G$745,"aug26")</f>
        <v>-27222</v>
      </c>
      <c r="L52" s="8">
        <f>(L40*'Forecast drivers'!J5)</f>
        <v>-27463.333333333332</v>
      </c>
      <c r="M52" s="8">
        <f>(M40*'Forecast drivers'!K5)</f>
        <v>-29960</v>
      </c>
      <c r="N52" s="8">
        <f>(N40*'Forecast drivers'!L5)</f>
        <v>-29960</v>
      </c>
      <c r="O52" s="8">
        <f>(O40*'Forecast drivers'!M5)</f>
        <v>-29960</v>
      </c>
    </row>
    <row r="53">
      <c r="A53" s="0" t="inlineStr">
        <is>
          <t xml:space="preserve">Benefits and payroll taxes</t>
        </is>
      </c>
      <c r="B53" s="0" t="inlineStr">
        <is>
          <t xml:space="preserve">United States</t>
        </is>
      </c>
      <c r="C53" s="0" t="inlineStr">
        <is>
          <t xml:space="preserve">Engineering</t>
        </is>
      </c>
      <c r="D53" s="8">
        <f>SUMIFS('ledger'!$F$2:$F$745,'ledger'!$C$2:$C$745,"=us",'ledger'!$D$2:$D$745,"=engineering",'ledger'!$E$2:$E$745,"=benefits",'ledger'!$G$2:$G$745,"jan26")</f>
        <v>-139371</v>
      </c>
      <c r="E53" s="8">
        <f>SUMIFS('ledger'!$F$2:$F$745,'ledger'!$C$2:$C$745,"=us",'ledger'!$D$2:$D$745,"=engineering",'ledger'!$E$2:$E$745,"=benefits",'ledger'!$G$2:$G$745,"feb26")</f>
        <v>-130686</v>
      </c>
      <c r="F53" s="8">
        <f>SUMIFS('ledger'!$F$2:$F$745,'ledger'!$C$2:$C$745,"=us",'ledger'!$D$2:$D$745,"=engineering",'ledger'!$E$2:$E$745,"=benefits",'ledger'!$G$2:$G$745,"mar26")</f>
        <v>-142184</v>
      </c>
      <c r="G53" s="8">
        <f>SUMIFS('ledger'!$F$2:$F$745,'ledger'!$C$2:$C$745,"=us",'ledger'!$D$2:$D$745,"=engineering",'ledger'!$E$2:$E$745,"=benefits",'ledger'!$G$2:$G$745,"apr26")</f>
        <v>-154501</v>
      </c>
      <c r="H53" s="8">
        <f>SUMIFS('ledger'!$F$2:$F$745,'ledger'!$C$2:$C$745,"=us",'ledger'!$D$2:$D$745,"=engineering",'ledger'!$E$2:$E$745,"=benefits",'ledger'!$G$2:$G$745,"may26")</f>
        <v>-138545</v>
      </c>
      <c r="I53" s="8">
        <f>SUMIFS('ledger'!$F$2:$F$745,'ledger'!$C$2:$C$745,"=us",'ledger'!$D$2:$D$745,"=engineering",'ledger'!$E$2:$E$745,"=benefits",'ledger'!$G$2:$G$745,"jun26")</f>
        <v>-152701</v>
      </c>
      <c r="J53" s="8">
        <f>SUMIFS('ledger'!$F$2:$F$745,'ledger'!$C$2:$C$745,"=us",'ledger'!$D$2:$D$745,"=engineering",'ledger'!$E$2:$E$745,"=benefits",'ledger'!$G$2:$G$745,"jul26")</f>
        <v>-153575</v>
      </c>
      <c r="K53" s="8">
        <f>SUMIFS('ledger'!$F$2:$F$745,'ledger'!$C$2:$C$745,"=us",'ledger'!$D$2:$D$745,"=engineering",'ledger'!$E$2:$E$745,"=benefits",'ledger'!$G$2:$G$745,"aug26")</f>
        <v>-172110</v>
      </c>
      <c r="L53" s="8">
        <f>(L41*'Forecast drivers'!J5)</f>
        <v>-176193.33333333334</v>
      </c>
      <c r="M53" s="8">
        <f>(M41*'Forecast drivers'!K5)</f>
        <v>-179581.66666666666</v>
      </c>
      <c r="N53" s="8">
        <f>(N41*'Forecast drivers'!L5)</f>
        <v>-182970</v>
      </c>
      <c r="O53" s="8">
        <f>(O41*'Forecast drivers'!M5)</f>
        <v>-186358.33333333334</v>
      </c>
    </row>
    <row r="54">
      <c r="A54" s="0" t="inlineStr">
        <is>
          <t xml:space="preserve">Benefits and payroll taxes</t>
        </is>
      </c>
      <c r="B54" s="0" t="inlineStr">
        <is>
          <t xml:space="preserve">United States</t>
        </is>
      </c>
      <c r="C54" s="0" t="inlineStr">
        <is>
          <t xml:space="preserve">Customer success</t>
        </is>
      </c>
      <c r="D54" s="8">
        <f>SUMIFS('ledger'!$F$2:$F$745,'ledger'!$C$2:$C$745,"=us",'ledger'!$D$2:$D$745,"=customer_success",'ledger'!$E$2:$E$745,"=benefits",'ledger'!$G$2:$G$745,"jan26")</f>
        <v>-22234</v>
      </c>
      <c r="E54" s="8">
        <f>SUMIFS('ledger'!$F$2:$F$745,'ledger'!$C$2:$C$745,"=us",'ledger'!$D$2:$D$745,"=customer_success",'ledger'!$E$2:$E$745,"=benefits",'ledger'!$G$2:$G$745,"feb26")</f>
        <v>-25376</v>
      </c>
      <c r="F54" s="8">
        <f>SUMIFS('ledger'!$F$2:$F$745,'ledger'!$C$2:$C$745,"=us",'ledger'!$D$2:$D$745,"=customer_success",'ledger'!$E$2:$E$745,"=benefits",'ledger'!$G$2:$G$745,"mar26")</f>
        <v>-29272</v>
      </c>
      <c r="G54" s="8">
        <f>SUMIFS('ledger'!$F$2:$F$745,'ledger'!$C$2:$C$745,"=us",'ledger'!$D$2:$D$745,"=customer_success",'ledger'!$E$2:$E$745,"=benefits",'ledger'!$G$2:$G$745,"apr26")</f>
        <v>-26253</v>
      </c>
      <c r="H54" s="8">
        <f>SUMIFS('ledger'!$F$2:$F$745,'ledger'!$C$2:$C$745,"=us",'ledger'!$D$2:$D$745,"=customer_success",'ledger'!$E$2:$E$745,"=benefits",'ledger'!$G$2:$G$745,"may26")</f>
        <v>-28134</v>
      </c>
      <c r="I54" s="8">
        <f>SUMIFS('ledger'!$F$2:$F$745,'ledger'!$C$2:$C$745,"=us",'ledger'!$D$2:$D$745,"=customer_success",'ledger'!$E$2:$E$745,"=benefits",'ledger'!$G$2:$G$745,"jun26")</f>
        <v>-26010</v>
      </c>
      <c r="J54" s="8">
        <f>SUMIFS('ledger'!$F$2:$F$745,'ledger'!$C$2:$C$745,"=us",'ledger'!$D$2:$D$745,"=customer_success",'ledger'!$E$2:$E$745,"=benefits",'ledger'!$G$2:$G$745,"jul26")</f>
        <v>-28004</v>
      </c>
      <c r="K54" s="8">
        <f>SUMIFS('ledger'!$F$2:$F$745,'ledger'!$C$2:$C$745,"=us",'ledger'!$D$2:$D$745,"=customer_success",'ledger'!$E$2:$E$745,"=benefits",'ledger'!$G$2:$G$745,"aug26")</f>
        <v>-31417</v>
      </c>
      <c r="L54" s="8">
        <f>(L42*'Forecast drivers'!J5)</f>
        <v>-29425</v>
      </c>
      <c r="M54" s="8">
        <f>(M42*'Forecast drivers'!K5)</f>
        <v>-31386.666666666664</v>
      </c>
      <c r="N54" s="8">
        <f>(N42*'Forecast drivers'!L5)</f>
        <v>-31386.666666666664</v>
      </c>
      <c r="O54" s="8">
        <f>(O42*'Forecast drivers'!M5)</f>
        <v>-31386.666666666664</v>
      </c>
    </row>
    <row r="55">
      <c r="A55" s="0" t="inlineStr">
        <is>
          <t xml:space="preserve">Benefits and payroll taxes</t>
        </is>
      </c>
      <c r="B55" s="0" t="inlineStr">
        <is>
          <t xml:space="preserve">United States</t>
        </is>
      </c>
      <c r="C55" s="0" t="inlineStr">
        <is>
          <t xml:space="preserve">G&amp;A</t>
        </is>
      </c>
      <c r="D55" s="4">
        <f>SUMIFS('ledger'!$F$2:$F$745,'ledger'!$C$2:$C$745,"=us",'ledger'!$D$2:$D$745,"=g_and_a",'ledger'!$E$2:$E$745,"=benefits",'ledger'!$G$2:$G$745,"jan26")</f>
        <v>-26915</v>
      </c>
      <c r="E55" s="4">
        <f>SUMIFS('ledger'!$F$2:$F$745,'ledger'!$C$2:$C$745,"=us",'ledger'!$D$2:$D$745,"=g_and_a",'ledger'!$E$2:$E$745,"=benefits",'ledger'!$G$2:$G$745,"feb26")</f>
        <v>-28180</v>
      </c>
      <c r="F55" s="4">
        <f>SUMIFS('ledger'!$F$2:$F$745,'ledger'!$C$2:$C$745,"=us",'ledger'!$D$2:$D$745,"=g_and_a",'ledger'!$E$2:$E$745,"=benefits",'ledger'!$G$2:$G$745,"mar26")</f>
        <v>-25343</v>
      </c>
      <c r="G55" s="4">
        <f>SUMIFS('ledger'!$F$2:$F$745,'ledger'!$C$2:$C$745,"=us",'ledger'!$D$2:$D$745,"=g_and_a",'ledger'!$E$2:$E$745,"=benefits",'ledger'!$G$2:$G$745,"apr26")</f>
        <v>-28713</v>
      </c>
      <c r="H55" s="4">
        <f>SUMIFS('ledger'!$F$2:$F$745,'ledger'!$C$2:$C$745,"=us",'ledger'!$D$2:$D$745,"=g_and_a",'ledger'!$E$2:$E$745,"=benefits",'ledger'!$G$2:$G$745,"may26")</f>
        <v>-30304</v>
      </c>
      <c r="I55" s="4">
        <f>SUMIFS('ledger'!$F$2:$F$745,'ledger'!$C$2:$C$745,"=us",'ledger'!$D$2:$D$745,"=g_and_a",'ledger'!$E$2:$E$745,"=benefits",'ledger'!$G$2:$G$745,"jun26")</f>
        <v>-29107</v>
      </c>
      <c r="J55" s="4">
        <f>SUMIFS('ledger'!$F$2:$F$745,'ledger'!$C$2:$C$745,"=us",'ledger'!$D$2:$D$745,"=g_and_a",'ledger'!$E$2:$E$745,"=benefits",'ledger'!$G$2:$G$745,"jul26")</f>
        <v>-27624</v>
      </c>
      <c r="K55" s="4">
        <f>SUMIFS('ledger'!$F$2:$F$745,'ledger'!$C$2:$C$745,"=us",'ledger'!$D$2:$D$745,"=g_and_a",'ledger'!$E$2:$E$745,"=benefits",'ledger'!$G$2:$G$745,"aug26")</f>
        <v>-28152</v>
      </c>
      <c r="L55" s="4">
        <f>(L43*'Forecast drivers'!J5)</f>
        <v>-32100</v>
      </c>
      <c r="M55" s="4">
        <f>(M43*'Forecast drivers'!K5)</f>
        <v>-32100</v>
      </c>
      <c r="N55" s="4">
        <f>(N43*'Forecast drivers'!L5)</f>
        <v>-32100</v>
      </c>
      <c r="O55" s="4">
        <f>(O43*'Forecast drivers'!M5)</f>
        <v>-32100</v>
      </c>
    </row>
    <row r="56">
      <c r="A56" s="0" t="inlineStr">
        <is>
          <t xml:space="preserve">Benefits and payroll taxes</t>
        </is>
      </c>
      <c r="B56" s="0" t="inlineStr">
        <is>
          <t xml:space="preserve">United Kingdom</t>
        </is>
      </c>
      <c r="C56" s="0" t="inlineStr">
        <is>
          <t xml:space="preserve">Company (revenue and cost of revenue)</t>
        </is>
      </c>
      <c r="D56" s="4">
        <f>SUMIFS('ledger'!$F$2:$F$745,'ledger'!$C$2:$C$745,"=uk",'ledger'!$D$2:$D$745,"=company",'ledger'!$E$2:$E$745,"=benefits",'ledger'!$G$2:$G$745,"jan26")</f>
        <v>0</v>
      </c>
      <c r="E56" s="4">
        <f>SUMIFS('ledger'!$F$2:$F$745,'ledger'!$C$2:$C$745,"=uk",'ledger'!$D$2:$D$745,"=company",'ledger'!$E$2:$E$745,"=benefits",'ledger'!$G$2:$G$745,"feb26")</f>
        <v>0</v>
      </c>
      <c r="F56" s="4">
        <f>SUMIFS('ledger'!$F$2:$F$745,'ledger'!$C$2:$C$745,"=uk",'ledger'!$D$2:$D$745,"=company",'ledger'!$E$2:$E$745,"=benefits",'ledger'!$G$2:$G$745,"mar26")</f>
        <v>0</v>
      </c>
      <c r="G56" s="4">
        <f>SUMIFS('ledger'!$F$2:$F$745,'ledger'!$C$2:$C$745,"=uk",'ledger'!$D$2:$D$745,"=company",'ledger'!$E$2:$E$745,"=benefits",'ledger'!$G$2:$G$745,"apr26")</f>
        <v>0</v>
      </c>
      <c r="H56" s="4">
        <f>SUMIFS('ledger'!$F$2:$F$745,'ledger'!$C$2:$C$745,"=uk",'ledger'!$D$2:$D$745,"=company",'ledger'!$E$2:$E$745,"=benefits",'ledger'!$G$2:$G$745,"may26")</f>
        <v>0</v>
      </c>
      <c r="I56" s="4">
        <f>SUMIFS('ledger'!$F$2:$F$745,'ledger'!$C$2:$C$745,"=uk",'ledger'!$D$2:$D$745,"=company",'ledger'!$E$2:$E$745,"=benefits",'ledger'!$G$2:$G$745,"jun26")</f>
        <v>0</v>
      </c>
      <c r="J56" s="4">
        <f>SUMIFS('ledger'!$F$2:$F$745,'ledger'!$C$2:$C$745,"=uk",'ledger'!$D$2:$D$745,"=company",'ledger'!$E$2:$E$745,"=benefits",'ledger'!$G$2:$G$745,"jul26")</f>
        <v>0</v>
      </c>
      <c r="K56" s="4">
        <f>SUMIFS('ledger'!$F$2:$F$745,'ledger'!$C$2:$C$745,"=uk",'ledger'!$D$2:$D$745,"=company",'ledger'!$E$2:$E$745,"=benefits",'ledger'!$G$2:$G$745,"aug26")</f>
        <v>0</v>
      </c>
      <c r="L56" s="4">
        <f>(L44*'Forecast drivers'!J5)</f>
        <v>0</v>
      </c>
      <c r="M56" s="4">
        <f>(M44*'Forecast drivers'!K5)</f>
        <v>0</v>
      </c>
      <c r="N56" s="4">
        <f>(N44*'Forecast drivers'!L5)</f>
        <v>0</v>
      </c>
      <c r="O56" s="4">
        <f>(O44*'Forecast drivers'!M5)</f>
        <v>0</v>
      </c>
    </row>
    <row r="57">
      <c r="A57" s="0" t="inlineStr">
        <is>
          <t xml:space="preserve">Benefits and payroll taxes</t>
        </is>
      </c>
      <c r="B57" s="0" t="inlineStr">
        <is>
          <t xml:space="preserve">United Kingdom</t>
        </is>
      </c>
      <c r="C57" s="0" t="inlineStr">
        <is>
          <t xml:space="preserve">Sales</t>
        </is>
      </c>
      <c r="D57" s="4">
        <f>SUMIFS('ledger'!$F$2:$F$745,'ledger'!$C$2:$C$745,"=uk",'ledger'!$D$2:$D$745,"=sales",'ledger'!$E$2:$E$745,"=benefits",'ledger'!$G$2:$G$745,"jan26")</f>
        <v>-22149</v>
      </c>
      <c r="E57" s="4">
        <f>SUMIFS('ledger'!$F$2:$F$745,'ledger'!$C$2:$C$745,"=uk",'ledger'!$D$2:$D$745,"=sales",'ledger'!$E$2:$E$745,"=benefits",'ledger'!$G$2:$G$745,"feb26")</f>
        <v>-21722</v>
      </c>
      <c r="F57" s="4">
        <f>SUMIFS('ledger'!$F$2:$F$745,'ledger'!$C$2:$C$745,"=uk",'ledger'!$D$2:$D$745,"=sales",'ledger'!$E$2:$E$745,"=benefits",'ledger'!$G$2:$G$745,"mar26")</f>
        <v>-23672</v>
      </c>
      <c r="G57" s="4">
        <f>SUMIFS('ledger'!$F$2:$F$745,'ledger'!$C$2:$C$745,"=uk",'ledger'!$D$2:$D$745,"=sales",'ledger'!$E$2:$E$745,"=benefits",'ledger'!$G$2:$G$745,"apr26")</f>
        <v>-22535</v>
      </c>
      <c r="H57" s="4">
        <f>SUMIFS('ledger'!$F$2:$F$745,'ledger'!$C$2:$C$745,"=uk",'ledger'!$D$2:$D$745,"=sales",'ledger'!$E$2:$E$745,"=benefits",'ledger'!$G$2:$G$745,"may26")</f>
        <v>-20137</v>
      </c>
      <c r="I57" s="4">
        <f>SUMIFS('ledger'!$F$2:$F$745,'ledger'!$C$2:$C$745,"=uk",'ledger'!$D$2:$D$745,"=sales",'ledger'!$E$2:$E$745,"=benefits",'ledger'!$G$2:$G$745,"jun26")</f>
        <v>-21574</v>
      </c>
      <c r="J57" s="4">
        <f>SUMIFS('ledger'!$F$2:$F$745,'ledger'!$C$2:$C$745,"=uk",'ledger'!$D$2:$D$745,"=sales",'ledger'!$E$2:$E$745,"=benefits",'ledger'!$G$2:$G$745,"jul26")</f>
        <v>-23067</v>
      </c>
      <c r="K57" s="4">
        <f>SUMIFS('ledger'!$F$2:$F$745,'ledger'!$C$2:$C$745,"=uk",'ledger'!$D$2:$D$745,"=sales",'ledger'!$E$2:$E$745,"=benefits",'ledger'!$G$2:$G$745,"aug26")</f>
        <v>-22346</v>
      </c>
      <c r="L57" s="4">
        <f>(L45*'Forecast drivers'!J5)</f>
        <v>-29960</v>
      </c>
      <c r="M57" s="4">
        <f>(M45*'Forecast drivers'!K5)</f>
        <v>-29960</v>
      </c>
      <c r="N57" s="4">
        <f>(N45*'Forecast drivers'!L5)</f>
        <v>-29960</v>
      </c>
      <c r="O57" s="4">
        <f>(O45*'Forecast drivers'!M5)</f>
        <v>-29960</v>
      </c>
    </row>
    <row r="58">
      <c r="A58" s="0" t="inlineStr">
        <is>
          <t xml:space="preserve">Benefits and payroll taxes</t>
        </is>
      </c>
      <c r="B58" s="0" t="inlineStr">
        <is>
          <t xml:space="preserve">United Kingdom</t>
        </is>
      </c>
      <c r="C58" s="0" t="inlineStr">
        <is>
          <t xml:space="preserve">Marketing</t>
        </is>
      </c>
      <c r="D58" s="4">
        <f>SUMIFS('ledger'!$F$2:$F$745,'ledger'!$C$2:$C$745,"=uk",'ledger'!$D$2:$D$745,"=marketing",'ledger'!$E$2:$E$745,"=benefits",'ledger'!$G$2:$G$745,"jan26")</f>
        <v>-8478</v>
      </c>
      <c r="E58" s="4">
        <f>SUMIFS('ledger'!$F$2:$F$745,'ledger'!$C$2:$C$745,"=uk",'ledger'!$D$2:$D$745,"=marketing",'ledger'!$E$2:$E$745,"=benefits",'ledger'!$G$2:$G$745,"feb26")</f>
        <v>-8115</v>
      </c>
      <c r="F58" s="4">
        <f>SUMIFS('ledger'!$F$2:$F$745,'ledger'!$C$2:$C$745,"=uk",'ledger'!$D$2:$D$745,"=marketing",'ledger'!$E$2:$E$745,"=benefits",'ledger'!$G$2:$G$745,"mar26")</f>
        <v>-9893</v>
      </c>
      <c r="G58" s="4">
        <f>SUMIFS('ledger'!$F$2:$F$745,'ledger'!$C$2:$C$745,"=uk",'ledger'!$D$2:$D$745,"=marketing",'ledger'!$E$2:$E$745,"=benefits",'ledger'!$G$2:$G$745,"apr26")</f>
        <v>-10047</v>
      </c>
      <c r="H58" s="4">
        <f>SUMIFS('ledger'!$F$2:$F$745,'ledger'!$C$2:$C$745,"=uk",'ledger'!$D$2:$D$745,"=marketing",'ledger'!$E$2:$E$745,"=benefits",'ledger'!$G$2:$G$745,"may26")</f>
        <v>-10890</v>
      </c>
      <c r="I58" s="4">
        <f>SUMIFS('ledger'!$F$2:$F$745,'ledger'!$C$2:$C$745,"=uk",'ledger'!$D$2:$D$745,"=marketing",'ledger'!$E$2:$E$745,"=benefits",'ledger'!$G$2:$G$745,"jun26")</f>
        <v>-10641</v>
      </c>
      <c r="J58" s="4">
        <f>SUMIFS('ledger'!$F$2:$F$745,'ledger'!$C$2:$C$745,"=uk",'ledger'!$D$2:$D$745,"=marketing",'ledger'!$E$2:$E$745,"=benefits",'ledger'!$G$2:$G$745,"jul26")</f>
        <v>-13564</v>
      </c>
      <c r="K58" s="4">
        <f>SUMIFS('ledger'!$F$2:$F$745,'ledger'!$C$2:$C$745,"=uk",'ledger'!$D$2:$D$745,"=marketing",'ledger'!$E$2:$E$745,"=benefits",'ledger'!$G$2:$G$745,"aug26")</f>
        <v>-12349</v>
      </c>
      <c r="L58" s="4">
        <f>(L46*'Forecast drivers'!J5)</f>
        <v>-12733</v>
      </c>
      <c r="M58" s="4">
        <f>(M46*'Forecast drivers'!K5)</f>
        <v>-12733</v>
      </c>
      <c r="N58" s="4">
        <f>(N46*'Forecast drivers'!L5)</f>
        <v>-12733</v>
      </c>
      <c r="O58" s="4">
        <f>(O46*'Forecast drivers'!M5)</f>
        <v>-12733</v>
      </c>
    </row>
    <row r="59">
      <c r="A59" s="0" t="inlineStr">
        <is>
          <t xml:space="preserve">Benefits and payroll taxes</t>
        </is>
      </c>
      <c r="B59" s="0" t="inlineStr">
        <is>
          <t xml:space="preserve">United Kingdom</t>
        </is>
      </c>
      <c r="C59" s="0" t="inlineStr">
        <is>
          <t xml:space="preserve">Engineering</t>
        </is>
      </c>
      <c r="D59" s="4">
        <f>SUMIFS('ledger'!$F$2:$F$745,'ledger'!$C$2:$C$745,"=uk",'ledger'!$D$2:$D$745,"=engineering",'ledger'!$E$2:$E$745,"=benefits",'ledger'!$G$2:$G$745,"jan26")</f>
        <v>-49072</v>
      </c>
      <c r="E59" s="4">
        <f>SUMIFS('ledger'!$F$2:$F$745,'ledger'!$C$2:$C$745,"=uk",'ledger'!$D$2:$D$745,"=engineering",'ledger'!$E$2:$E$745,"=benefits",'ledger'!$G$2:$G$745,"feb26")</f>
        <v>-48125</v>
      </c>
      <c r="F59" s="4">
        <f>SUMIFS('ledger'!$F$2:$F$745,'ledger'!$C$2:$C$745,"=uk",'ledger'!$D$2:$D$745,"=engineering",'ledger'!$E$2:$E$745,"=benefits",'ledger'!$G$2:$G$745,"mar26")</f>
        <v>-52560</v>
      </c>
      <c r="G59" s="4">
        <f>SUMIFS('ledger'!$F$2:$F$745,'ledger'!$C$2:$C$745,"=uk",'ledger'!$D$2:$D$745,"=engineering",'ledger'!$E$2:$E$745,"=benefits",'ledger'!$G$2:$G$745,"apr26")</f>
        <v>-54197</v>
      </c>
      <c r="H59" s="4">
        <f>SUMIFS('ledger'!$F$2:$F$745,'ledger'!$C$2:$C$745,"=uk",'ledger'!$D$2:$D$745,"=engineering",'ledger'!$E$2:$E$745,"=benefits",'ledger'!$G$2:$G$745,"may26")</f>
        <v>-56118</v>
      </c>
      <c r="I59" s="4">
        <f>SUMIFS('ledger'!$F$2:$F$745,'ledger'!$C$2:$C$745,"=uk",'ledger'!$D$2:$D$745,"=engineering",'ledger'!$E$2:$E$745,"=benefits",'ledger'!$G$2:$G$745,"jun26")</f>
        <v>-60530</v>
      </c>
      <c r="J59" s="4">
        <f>SUMIFS('ledger'!$F$2:$F$745,'ledger'!$C$2:$C$745,"=uk",'ledger'!$D$2:$D$745,"=engineering",'ledger'!$E$2:$E$745,"=benefits",'ledger'!$G$2:$G$745,"jul26")</f>
        <v>-60587</v>
      </c>
      <c r="K59" s="4">
        <f>SUMIFS('ledger'!$F$2:$F$745,'ledger'!$C$2:$C$745,"=uk",'ledger'!$D$2:$D$745,"=engineering",'ledger'!$E$2:$E$745,"=benefits",'ledger'!$G$2:$G$745,"aug26")</f>
        <v>-55618</v>
      </c>
      <c r="L59" s="4">
        <f>(L47*'Forecast drivers'!J5)</f>
        <v>-72225</v>
      </c>
      <c r="M59" s="4">
        <f>(M47*'Forecast drivers'!K5)</f>
        <v>-72225</v>
      </c>
      <c r="N59" s="4">
        <f>(N47*'Forecast drivers'!L5)</f>
        <v>-75114</v>
      </c>
      <c r="O59" s="4">
        <f>(O47*'Forecast drivers'!M5)</f>
        <v>-75114</v>
      </c>
    </row>
    <row r="60">
      <c r="A60" s="0" t="inlineStr">
        <is>
          <t xml:space="preserve">Benefits and payroll taxes</t>
        </is>
      </c>
      <c r="B60" s="0" t="inlineStr">
        <is>
          <t xml:space="preserve">United Kingdom</t>
        </is>
      </c>
      <c r="C60" s="0" t="inlineStr">
        <is>
          <t xml:space="preserve">Customer success</t>
        </is>
      </c>
      <c r="D60" s="4">
        <f>SUMIFS('ledger'!$F$2:$F$745,'ledger'!$C$2:$C$745,"=uk",'ledger'!$D$2:$D$745,"=customer_success",'ledger'!$E$2:$E$745,"=benefits",'ledger'!$G$2:$G$745,"jan26")</f>
        <v>-8286</v>
      </c>
      <c r="E60" s="4">
        <f>SUMIFS('ledger'!$F$2:$F$745,'ledger'!$C$2:$C$745,"=uk",'ledger'!$D$2:$D$745,"=customer_success",'ledger'!$E$2:$E$745,"=benefits",'ledger'!$G$2:$G$745,"feb26")</f>
        <v>-7782</v>
      </c>
      <c r="F60" s="4">
        <f>SUMIFS('ledger'!$F$2:$F$745,'ledger'!$C$2:$C$745,"=uk",'ledger'!$D$2:$D$745,"=customer_success",'ledger'!$E$2:$E$745,"=benefits",'ledger'!$G$2:$G$745,"mar26")</f>
        <v>-8215</v>
      </c>
      <c r="G60" s="4">
        <f>SUMIFS('ledger'!$F$2:$F$745,'ledger'!$C$2:$C$745,"=uk",'ledger'!$D$2:$D$745,"=customer_success",'ledger'!$E$2:$E$745,"=benefits",'ledger'!$G$2:$G$745,"apr26")</f>
        <v>-8695</v>
      </c>
      <c r="H60" s="4">
        <f>SUMIFS('ledger'!$F$2:$F$745,'ledger'!$C$2:$C$745,"=uk",'ledger'!$D$2:$D$745,"=customer_success",'ledger'!$E$2:$E$745,"=benefits",'ledger'!$G$2:$G$745,"may26")</f>
        <v>-10421</v>
      </c>
      <c r="I60" s="4">
        <f>SUMIFS('ledger'!$F$2:$F$745,'ledger'!$C$2:$C$745,"=uk",'ledger'!$D$2:$D$745,"=customer_success",'ledger'!$E$2:$E$745,"=benefits",'ledger'!$G$2:$G$745,"jun26")</f>
        <v>-9490</v>
      </c>
      <c r="J60" s="4">
        <f>SUMIFS('ledger'!$F$2:$F$745,'ledger'!$C$2:$C$745,"=uk",'ledger'!$D$2:$D$745,"=customer_success",'ledger'!$E$2:$E$745,"=benefits",'ledger'!$G$2:$G$745,"jul26")</f>
        <v>-10063</v>
      </c>
      <c r="K60" s="4">
        <f>SUMIFS('ledger'!$F$2:$F$745,'ledger'!$C$2:$C$745,"=uk",'ledger'!$D$2:$D$745,"=customer_success",'ledger'!$E$2:$E$745,"=benefits",'ledger'!$G$2:$G$745,"aug26")</f>
        <v>-10896</v>
      </c>
      <c r="L60" s="4">
        <f>(L48*'Forecast drivers'!J5)</f>
        <v>-10058</v>
      </c>
      <c r="M60" s="4">
        <f>(M48*'Forecast drivers'!K5)</f>
        <v>-10058</v>
      </c>
      <c r="N60" s="4">
        <f>(N48*'Forecast drivers'!L5)</f>
        <v>-10058</v>
      </c>
      <c r="O60" s="4">
        <f>(O48*'Forecast drivers'!M5)</f>
        <v>-10058</v>
      </c>
    </row>
    <row r="61">
      <c r="A61" s="0" t="inlineStr">
        <is>
          <t xml:space="preserve">Benefits and payroll taxes</t>
        </is>
      </c>
      <c r="B61" s="0" t="inlineStr">
        <is>
          <t xml:space="preserve">United Kingdom</t>
        </is>
      </c>
      <c r="C61" s="0" t="inlineStr">
        <is>
          <t xml:space="preserve">G&amp;A</t>
        </is>
      </c>
      <c r="D61" s="8">
        <f>SUMIFS('ledger'!$F$2:$F$745,'ledger'!$C$2:$C$745,"=uk",'ledger'!$D$2:$D$745,"=g_and_a",'ledger'!$E$2:$E$745,"=benefits",'ledger'!$G$2:$G$745,"jan26")</f>
        <v>-8697</v>
      </c>
      <c r="E61" s="8">
        <f>SUMIFS('ledger'!$F$2:$F$745,'ledger'!$C$2:$C$745,"=uk",'ledger'!$D$2:$D$745,"=g_and_a",'ledger'!$E$2:$E$745,"=benefits",'ledger'!$G$2:$G$745,"feb26")</f>
        <v>-8281</v>
      </c>
      <c r="F61" s="8">
        <f>SUMIFS('ledger'!$F$2:$F$745,'ledger'!$C$2:$C$745,"=uk",'ledger'!$D$2:$D$745,"=g_and_a",'ledger'!$E$2:$E$745,"=benefits",'ledger'!$G$2:$G$745,"mar26")</f>
        <v>-9018</v>
      </c>
      <c r="G61" s="8">
        <f>SUMIFS('ledger'!$F$2:$F$745,'ledger'!$C$2:$C$745,"=uk",'ledger'!$D$2:$D$745,"=g_and_a",'ledger'!$E$2:$E$745,"=benefits",'ledger'!$G$2:$G$745,"apr26")</f>
        <v>-8910</v>
      </c>
      <c r="H61" s="8">
        <f>SUMIFS('ledger'!$F$2:$F$745,'ledger'!$C$2:$C$745,"=uk",'ledger'!$D$2:$D$745,"=g_and_a",'ledger'!$E$2:$E$745,"=benefits",'ledger'!$G$2:$G$745,"may26")</f>
        <v>-9799</v>
      </c>
      <c r="I61" s="8">
        <f>SUMIFS('ledger'!$F$2:$F$745,'ledger'!$C$2:$C$745,"=uk",'ledger'!$D$2:$D$745,"=g_and_a",'ledger'!$E$2:$E$745,"=benefits",'ledger'!$G$2:$G$745,"jun26")</f>
        <v>-9291</v>
      </c>
      <c r="J61" s="8">
        <f>SUMIFS('ledger'!$F$2:$F$745,'ledger'!$C$2:$C$745,"=uk",'ledger'!$D$2:$D$745,"=g_and_a",'ledger'!$E$2:$E$745,"=benefits",'ledger'!$G$2:$G$745,"jul26")</f>
        <v>-9259</v>
      </c>
      <c r="K61" s="8">
        <f>SUMIFS('ledger'!$F$2:$F$745,'ledger'!$C$2:$C$745,"=uk",'ledger'!$D$2:$D$745,"=g_and_a",'ledger'!$E$2:$E$745,"=benefits",'ledger'!$G$2:$G$745,"aug26")</f>
        <v>-8929</v>
      </c>
      <c r="L61" s="8">
        <f>(L49*'Forecast drivers'!J5)</f>
        <v>-11413.333333333334</v>
      </c>
      <c r="M61" s="8">
        <f>(M49*'Forecast drivers'!K5)</f>
        <v>-11413.333333333334</v>
      </c>
      <c r="N61" s="8">
        <f>(N49*'Forecast drivers'!L5)</f>
        <v>-11413.333333333334</v>
      </c>
      <c r="O61" s="8">
        <f>(O49*'Forecast drivers'!M5)</f>
        <v>-11413.333333333334</v>
      </c>
    </row>
    <row r="62">
      <c r="A62" s="0" t="inlineStr">
        <is>
          <t xml:space="preserve">Commissions</t>
        </is>
      </c>
      <c r="B62" s="0" t="inlineStr">
        <is>
          <t xml:space="preserve">United States</t>
        </is>
      </c>
      <c r="C62" s="0" t="inlineStr">
        <is>
          <t xml:space="preserve">Company (revenue and cost of revenue)</t>
        </is>
      </c>
      <c r="D62" s="4">
        <f>SUMIFS('ledger'!$F$2:$F$745,'ledger'!$C$2:$C$745,"=us",'ledger'!$D$2:$D$745,"=company",'ledger'!$E$2:$E$745,"=commissions",'ledger'!$G$2:$G$745,"jan26")</f>
        <v>0</v>
      </c>
      <c r="E62" s="4">
        <f>SUMIFS('ledger'!$F$2:$F$745,'ledger'!$C$2:$C$745,"=us",'ledger'!$D$2:$D$745,"=company",'ledger'!$E$2:$E$745,"=commissions",'ledger'!$G$2:$G$745,"feb26")</f>
        <v>0</v>
      </c>
      <c r="F62" s="4">
        <f>SUMIFS('ledger'!$F$2:$F$745,'ledger'!$C$2:$C$745,"=us",'ledger'!$D$2:$D$745,"=company",'ledger'!$E$2:$E$745,"=commissions",'ledger'!$G$2:$G$745,"mar26")</f>
        <v>0</v>
      </c>
      <c r="G62" s="4">
        <f>SUMIFS('ledger'!$F$2:$F$745,'ledger'!$C$2:$C$745,"=us",'ledger'!$D$2:$D$745,"=company",'ledger'!$E$2:$E$745,"=commissions",'ledger'!$G$2:$G$745,"apr26")</f>
        <v>0</v>
      </c>
      <c r="H62" s="4">
        <f>SUMIFS('ledger'!$F$2:$F$745,'ledger'!$C$2:$C$745,"=us",'ledger'!$D$2:$D$745,"=company",'ledger'!$E$2:$E$745,"=commissions",'ledger'!$G$2:$G$745,"may26")</f>
        <v>0</v>
      </c>
      <c r="I62" s="4">
        <f>SUMIFS('ledger'!$F$2:$F$745,'ledger'!$C$2:$C$745,"=us",'ledger'!$D$2:$D$745,"=company",'ledger'!$E$2:$E$745,"=commissions",'ledger'!$G$2:$G$745,"jun26")</f>
        <v>0</v>
      </c>
      <c r="J62" s="4">
        <f>SUMIFS('ledger'!$F$2:$F$745,'ledger'!$C$2:$C$745,"=us",'ledger'!$D$2:$D$745,"=company",'ledger'!$E$2:$E$745,"=commissions",'ledger'!$G$2:$G$745,"jul26")</f>
        <v>0</v>
      </c>
      <c r="K62" s="4">
        <f>SUMIFS('ledger'!$F$2:$F$745,'ledger'!$C$2:$C$745,"=us",'ledger'!$D$2:$D$745,"=company",'ledger'!$E$2:$E$745,"=commissions",'ledger'!$G$2:$G$745,"aug26")</f>
        <v>0</v>
      </c>
      <c r="L62" s="4">
        <f>(K62*(1+'Forecast drivers'!J9))</f>
        <v>0</v>
      </c>
      <c r="M62" s="4">
        <f>(L62*(1+'Forecast drivers'!K9))</f>
        <v>0</v>
      </c>
      <c r="N62" s="4">
        <f>(M62*(1+'Forecast drivers'!L9))</f>
        <v>0</v>
      </c>
      <c r="O62" s="4">
        <f>(N62*(1+'Forecast drivers'!M9))</f>
        <v>0</v>
      </c>
    </row>
    <row r="63">
      <c r="A63" s="0" t="inlineStr">
        <is>
          <t xml:space="preserve">Commissions</t>
        </is>
      </c>
      <c r="B63" s="0" t="inlineStr">
        <is>
          <t xml:space="preserve">United States</t>
        </is>
      </c>
      <c r="C63" s="0" t="inlineStr">
        <is>
          <t xml:space="preserve">Sales</t>
        </is>
      </c>
      <c r="D63" s="8">
        <f>SUMIFS('ledger'!$F$2:$F$745,'ledger'!$C$2:$C$745,"=us",'ledger'!$D$2:$D$745,"=sales",'ledger'!$E$2:$E$745,"=commissions",'ledger'!$G$2:$G$745,"jan26")</f>
        <v>-179708</v>
      </c>
      <c r="E63" s="8">
        <f>SUMIFS('ledger'!$F$2:$F$745,'ledger'!$C$2:$C$745,"=us",'ledger'!$D$2:$D$745,"=sales",'ledger'!$E$2:$E$745,"=commissions",'ledger'!$G$2:$G$745,"feb26")</f>
        <v>-199370</v>
      </c>
      <c r="F63" s="8">
        <f>SUMIFS('ledger'!$F$2:$F$745,'ledger'!$C$2:$C$745,"=us",'ledger'!$D$2:$D$745,"=sales",'ledger'!$E$2:$E$745,"=commissions",'ledger'!$G$2:$G$745,"mar26")</f>
        <v>-222066</v>
      </c>
      <c r="G63" s="8">
        <f>SUMIFS('ledger'!$F$2:$F$745,'ledger'!$C$2:$C$745,"=us",'ledger'!$D$2:$D$745,"=sales",'ledger'!$E$2:$E$745,"=commissions",'ledger'!$G$2:$G$745,"apr26")</f>
        <v>-198137</v>
      </c>
      <c r="H63" s="8">
        <f>SUMIFS('ledger'!$F$2:$F$745,'ledger'!$C$2:$C$745,"=us",'ledger'!$D$2:$D$745,"=sales",'ledger'!$E$2:$E$745,"=commissions",'ledger'!$G$2:$G$745,"may26")</f>
        <v>-217999</v>
      </c>
      <c r="I63" s="8">
        <f>SUMIFS('ledger'!$F$2:$F$745,'ledger'!$C$2:$C$745,"=us",'ledger'!$D$2:$D$745,"=sales",'ledger'!$E$2:$E$745,"=commissions",'ledger'!$G$2:$G$745,"jun26")</f>
        <v>-216081</v>
      </c>
      <c r="J63" s="8">
        <f>SUMIFS('ledger'!$F$2:$F$745,'ledger'!$C$2:$C$745,"=us",'ledger'!$D$2:$D$745,"=sales",'ledger'!$E$2:$E$745,"=commissions",'ledger'!$G$2:$G$745,"jul26")</f>
        <v>-210832</v>
      </c>
      <c r="K63" s="8">
        <f>SUMIFS('ledger'!$F$2:$F$745,'ledger'!$C$2:$C$745,"=us",'ledger'!$D$2:$D$745,"=sales",'ledger'!$E$2:$E$745,"=commissions",'ledger'!$G$2:$G$745,"aug26")</f>
        <v>-200551</v>
      </c>
      <c r="L63" s="8">
        <f>(-(L2)*'Forecast drivers'!J6)</f>
        <v>-217627.56404099998</v>
      </c>
      <c r="M63" s="8">
        <f>(-(M2)*'Forecast drivers'!K6)</f>
        <v>-221762.487757779</v>
      </c>
      <c r="N63" s="8">
        <f>(-(N2)*'Forecast drivers'!L6)</f>
        <v>-225975.97502517674</v>
      </c>
      <c r="O63" s="8">
        <f>(-(O2)*'Forecast drivers'!M6)</f>
        <v>-230269.51855065508</v>
      </c>
    </row>
    <row r="64">
      <c r="A64" s="0" t="inlineStr">
        <is>
          <t xml:space="preserve">Commissions</t>
        </is>
      </c>
      <c r="B64" s="0" t="inlineStr">
        <is>
          <t xml:space="preserve">United States</t>
        </is>
      </c>
      <c r="C64" s="0" t="inlineStr">
        <is>
          <t xml:space="preserve">Marketing</t>
        </is>
      </c>
      <c r="D64" s="4">
        <f>SUMIFS('ledger'!$F$2:$F$745,'ledger'!$C$2:$C$745,"=us",'ledger'!$D$2:$D$745,"=marketing",'ledger'!$E$2:$E$745,"=commissions",'ledger'!$G$2:$G$745,"jan26")</f>
        <v>0</v>
      </c>
      <c r="E64" s="4">
        <f>SUMIFS('ledger'!$F$2:$F$745,'ledger'!$C$2:$C$745,"=us",'ledger'!$D$2:$D$745,"=marketing",'ledger'!$E$2:$E$745,"=commissions",'ledger'!$G$2:$G$745,"feb26")</f>
        <v>0</v>
      </c>
      <c r="F64" s="4">
        <f>SUMIFS('ledger'!$F$2:$F$745,'ledger'!$C$2:$C$745,"=us",'ledger'!$D$2:$D$745,"=marketing",'ledger'!$E$2:$E$745,"=commissions",'ledger'!$G$2:$G$745,"mar26")</f>
        <v>0</v>
      </c>
      <c r="G64" s="4">
        <f>SUMIFS('ledger'!$F$2:$F$745,'ledger'!$C$2:$C$745,"=us",'ledger'!$D$2:$D$745,"=marketing",'ledger'!$E$2:$E$745,"=commissions",'ledger'!$G$2:$G$745,"apr26")</f>
        <v>0</v>
      </c>
      <c r="H64" s="4">
        <f>SUMIFS('ledger'!$F$2:$F$745,'ledger'!$C$2:$C$745,"=us",'ledger'!$D$2:$D$745,"=marketing",'ledger'!$E$2:$E$745,"=commissions",'ledger'!$G$2:$G$745,"may26")</f>
        <v>0</v>
      </c>
      <c r="I64" s="4">
        <f>SUMIFS('ledger'!$F$2:$F$745,'ledger'!$C$2:$C$745,"=us",'ledger'!$D$2:$D$745,"=marketing",'ledger'!$E$2:$E$745,"=commissions",'ledger'!$G$2:$G$745,"jun26")</f>
        <v>0</v>
      </c>
      <c r="J64" s="4">
        <f>SUMIFS('ledger'!$F$2:$F$745,'ledger'!$C$2:$C$745,"=us",'ledger'!$D$2:$D$745,"=marketing",'ledger'!$E$2:$E$745,"=commissions",'ledger'!$G$2:$G$745,"jul26")</f>
        <v>0</v>
      </c>
      <c r="K64" s="4">
        <f>SUMIFS('ledger'!$F$2:$F$745,'ledger'!$C$2:$C$745,"=us",'ledger'!$D$2:$D$745,"=marketing",'ledger'!$E$2:$E$745,"=commissions",'ledger'!$G$2:$G$745,"aug26")</f>
        <v>0</v>
      </c>
      <c r="L64" s="4">
        <f>(K64*(1+'Forecast drivers'!J9))</f>
        <v>0</v>
      </c>
      <c r="M64" s="4">
        <f>(L64*(1+'Forecast drivers'!K9))</f>
        <v>0</v>
      </c>
      <c r="N64" s="4">
        <f>(M64*(1+'Forecast drivers'!L9))</f>
        <v>0</v>
      </c>
      <c r="O64" s="4">
        <f>(N64*(1+'Forecast drivers'!M9))</f>
        <v>0</v>
      </c>
    </row>
    <row r="65">
      <c r="A65" s="0" t="inlineStr">
        <is>
          <t xml:space="preserve">Commissions</t>
        </is>
      </c>
      <c r="B65" s="0" t="inlineStr">
        <is>
          <t xml:space="preserve">United States</t>
        </is>
      </c>
      <c r="C65" s="0" t="inlineStr">
        <is>
          <t xml:space="preserve">Engineering</t>
        </is>
      </c>
      <c r="D65" s="4">
        <f>SUMIFS('ledger'!$F$2:$F$745,'ledger'!$C$2:$C$745,"=us",'ledger'!$D$2:$D$745,"=engineering",'ledger'!$E$2:$E$745,"=commissions",'ledger'!$G$2:$G$745,"jan26")</f>
        <v>0</v>
      </c>
      <c r="E65" s="4">
        <f>SUMIFS('ledger'!$F$2:$F$745,'ledger'!$C$2:$C$745,"=us",'ledger'!$D$2:$D$745,"=engineering",'ledger'!$E$2:$E$745,"=commissions",'ledger'!$G$2:$G$745,"feb26")</f>
        <v>0</v>
      </c>
      <c r="F65" s="4">
        <f>SUMIFS('ledger'!$F$2:$F$745,'ledger'!$C$2:$C$745,"=us",'ledger'!$D$2:$D$745,"=engineering",'ledger'!$E$2:$E$745,"=commissions",'ledger'!$G$2:$G$745,"mar26")</f>
        <v>0</v>
      </c>
      <c r="G65" s="4">
        <f>SUMIFS('ledger'!$F$2:$F$745,'ledger'!$C$2:$C$745,"=us",'ledger'!$D$2:$D$745,"=engineering",'ledger'!$E$2:$E$745,"=commissions",'ledger'!$G$2:$G$745,"apr26")</f>
        <v>0</v>
      </c>
      <c r="H65" s="4">
        <f>SUMIFS('ledger'!$F$2:$F$745,'ledger'!$C$2:$C$745,"=us",'ledger'!$D$2:$D$745,"=engineering",'ledger'!$E$2:$E$745,"=commissions",'ledger'!$G$2:$G$745,"may26")</f>
        <v>0</v>
      </c>
      <c r="I65" s="4">
        <f>SUMIFS('ledger'!$F$2:$F$745,'ledger'!$C$2:$C$745,"=us",'ledger'!$D$2:$D$745,"=engineering",'ledger'!$E$2:$E$745,"=commissions",'ledger'!$G$2:$G$745,"jun26")</f>
        <v>0</v>
      </c>
      <c r="J65" s="4">
        <f>SUMIFS('ledger'!$F$2:$F$745,'ledger'!$C$2:$C$745,"=us",'ledger'!$D$2:$D$745,"=engineering",'ledger'!$E$2:$E$745,"=commissions",'ledger'!$G$2:$G$745,"jul26")</f>
        <v>0</v>
      </c>
      <c r="K65" s="4">
        <f>SUMIFS('ledger'!$F$2:$F$745,'ledger'!$C$2:$C$745,"=us",'ledger'!$D$2:$D$745,"=engineering",'ledger'!$E$2:$E$745,"=commissions",'ledger'!$G$2:$G$745,"aug26")</f>
        <v>0</v>
      </c>
      <c r="L65" s="4">
        <f>(K65*(1+'Forecast drivers'!J9))</f>
        <v>0</v>
      </c>
      <c r="M65" s="4">
        <f>(L65*(1+'Forecast drivers'!K9))</f>
        <v>0</v>
      </c>
      <c r="N65" s="4">
        <f>(M65*(1+'Forecast drivers'!L9))</f>
        <v>0</v>
      </c>
      <c r="O65" s="4">
        <f>(N65*(1+'Forecast drivers'!M9))</f>
        <v>0</v>
      </c>
    </row>
    <row r="66">
      <c r="A66" s="0" t="inlineStr">
        <is>
          <t xml:space="preserve">Commissions</t>
        </is>
      </c>
      <c r="B66" s="0" t="inlineStr">
        <is>
          <t xml:space="preserve">United States</t>
        </is>
      </c>
      <c r="C66" s="0" t="inlineStr">
        <is>
          <t xml:space="preserve">Customer success</t>
        </is>
      </c>
      <c r="D66" s="4">
        <f>SUMIFS('ledger'!$F$2:$F$745,'ledger'!$C$2:$C$745,"=us",'ledger'!$D$2:$D$745,"=customer_success",'ledger'!$E$2:$E$745,"=commissions",'ledger'!$G$2:$G$745,"jan26")</f>
        <v>0</v>
      </c>
      <c r="E66" s="4">
        <f>SUMIFS('ledger'!$F$2:$F$745,'ledger'!$C$2:$C$745,"=us",'ledger'!$D$2:$D$745,"=customer_success",'ledger'!$E$2:$E$745,"=commissions",'ledger'!$G$2:$G$745,"feb26")</f>
        <v>0</v>
      </c>
      <c r="F66" s="4">
        <f>SUMIFS('ledger'!$F$2:$F$745,'ledger'!$C$2:$C$745,"=us",'ledger'!$D$2:$D$745,"=customer_success",'ledger'!$E$2:$E$745,"=commissions",'ledger'!$G$2:$G$745,"mar26")</f>
        <v>0</v>
      </c>
      <c r="G66" s="4">
        <f>SUMIFS('ledger'!$F$2:$F$745,'ledger'!$C$2:$C$745,"=us",'ledger'!$D$2:$D$745,"=customer_success",'ledger'!$E$2:$E$745,"=commissions",'ledger'!$G$2:$G$745,"apr26")</f>
        <v>0</v>
      </c>
      <c r="H66" s="4">
        <f>SUMIFS('ledger'!$F$2:$F$745,'ledger'!$C$2:$C$745,"=us",'ledger'!$D$2:$D$745,"=customer_success",'ledger'!$E$2:$E$745,"=commissions",'ledger'!$G$2:$G$745,"may26")</f>
        <v>0</v>
      </c>
      <c r="I66" s="4">
        <f>SUMIFS('ledger'!$F$2:$F$745,'ledger'!$C$2:$C$745,"=us",'ledger'!$D$2:$D$745,"=customer_success",'ledger'!$E$2:$E$745,"=commissions",'ledger'!$G$2:$G$745,"jun26")</f>
        <v>0</v>
      </c>
      <c r="J66" s="4">
        <f>SUMIFS('ledger'!$F$2:$F$745,'ledger'!$C$2:$C$745,"=us",'ledger'!$D$2:$D$745,"=customer_success",'ledger'!$E$2:$E$745,"=commissions",'ledger'!$G$2:$G$745,"jul26")</f>
        <v>0</v>
      </c>
      <c r="K66" s="4">
        <f>SUMIFS('ledger'!$F$2:$F$745,'ledger'!$C$2:$C$745,"=us",'ledger'!$D$2:$D$745,"=customer_success",'ledger'!$E$2:$E$745,"=commissions",'ledger'!$G$2:$G$745,"aug26")</f>
        <v>0</v>
      </c>
      <c r="L66" s="4">
        <f>(K66*(1+'Forecast drivers'!J9))</f>
        <v>0</v>
      </c>
      <c r="M66" s="4">
        <f>(L66*(1+'Forecast drivers'!K9))</f>
        <v>0</v>
      </c>
      <c r="N66" s="4">
        <f>(M66*(1+'Forecast drivers'!L9))</f>
        <v>0</v>
      </c>
      <c r="O66" s="4">
        <f>(N66*(1+'Forecast drivers'!M9))</f>
        <v>0</v>
      </c>
    </row>
    <row r="67">
      <c r="A67" s="0" t="inlineStr">
        <is>
          <t xml:space="preserve">Commissions</t>
        </is>
      </c>
      <c r="B67" s="0" t="inlineStr">
        <is>
          <t xml:space="preserve">United States</t>
        </is>
      </c>
      <c r="C67" s="0" t="inlineStr">
        <is>
          <t xml:space="preserve">G&amp;A</t>
        </is>
      </c>
      <c r="D67" s="4">
        <f>SUMIFS('ledger'!$F$2:$F$745,'ledger'!$C$2:$C$745,"=us",'ledger'!$D$2:$D$745,"=g_and_a",'ledger'!$E$2:$E$745,"=commissions",'ledger'!$G$2:$G$745,"jan26")</f>
        <v>0</v>
      </c>
      <c r="E67" s="4">
        <f>SUMIFS('ledger'!$F$2:$F$745,'ledger'!$C$2:$C$745,"=us",'ledger'!$D$2:$D$745,"=g_and_a",'ledger'!$E$2:$E$745,"=commissions",'ledger'!$G$2:$G$745,"feb26")</f>
        <v>0</v>
      </c>
      <c r="F67" s="4">
        <f>SUMIFS('ledger'!$F$2:$F$745,'ledger'!$C$2:$C$745,"=us",'ledger'!$D$2:$D$745,"=g_and_a",'ledger'!$E$2:$E$745,"=commissions",'ledger'!$G$2:$G$745,"mar26")</f>
        <v>0</v>
      </c>
      <c r="G67" s="4">
        <f>SUMIFS('ledger'!$F$2:$F$745,'ledger'!$C$2:$C$745,"=us",'ledger'!$D$2:$D$745,"=g_and_a",'ledger'!$E$2:$E$745,"=commissions",'ledger'!$G$2:$G$745,"apr26")</f>
        <v>0</v>
      </c>
      <c r="H67" s="4">
        <f>SUMIFS('ledger'!$F$2:$F$745,'ledger'!$C$2:$C$745,"=us",'ledger'!$D$2:$D$745,"=g_and_a",'ledger'!$E$2:$E$745,"=commissions",'ledger'!$G$2:$G$745,"may26")</f>
        <v>0</v>
      </c>
      <c r="I67" s="4">
        <f>SUMIFS('ledger'!$F$2:$F$745,'ledger'!$C$2:$C$745,"=us",'ledger'!$D$2:$D$745,"=g_and_a",'ledger'!$E$2:$E$745,"=commissions",'ledger'!$G$2:$G$745,"jun26")</f>
        <v>0</v>
      </c>
      <c r="J67" s="4">
        <f>SUMIFS('ledger'!$F$2:$F$745,'ledger'!$C$2:$C$745,"=us",'ledger'!$D$2:$D$745,"=g_and_a",'ledger'!$E$2:$E$745,"=commissions",'ledger'!$G$2:$G$745,"jul26")</f>
        <v>0</v>
      </c>
      <c r="K67" s="4">
        <f>SUMIFS('ledger'!$F$2:$F$745,'ledger'!$C$2:$C$745,"=us",'ledger'!$D$2:$D$745,"=g_and_a",'ledger'!$E$2:$E$745,"=commissions",'ledger'!$G$2:$G$745,"aug26")</f>
        <v>0</v>
      </c>
      <c r="L67" s="4">
        <f>(K67*(1+'Forecast drivers'!J9))</f>
        <v>0</v>
      </c>
      <c r="M67" s="4">
        <f>(L67*(1+'Forecast drivers'!K9))</f>
        <v>0</v>
      </c>
      <c r="N67" s="4">
        <f>(M67*(1+'Forecast drivers'!L9))</f>
        <v>0</v>
      </c>
      <c r="O67" s="4">
        <f>(N67*(1+'Forecast drivers'!M9))</f>
        <v>0</v>
      </c>
    </row>
    <row r="68">
      <c r="A68" s="0" t="inlineStr">
        <is>
          <t xml:space="preserve">Commissions</t>
        </is>
      </c>
      <c r="B68" s="0" t="inlineStr">
        <is>
          <t xml:space="preserve">United Kingdom</t>
        </is>
      </c>
      <c r="C68" s="0" t="inlineStr">
        <is>
          <t xml:space="preserve">Company (revenue and cost of revenue)</t>
        </is>
      </c>
      <c r="D68" s="4">
        <f>SUMIFS('ledger'!$F$2:$F$745,'ledger'!$C$2:$C$745,"=uk",'ledger'!$D$2:$D$745,"=company",'ledger'!$E$2:$E$745,"=commissions",'ledger'!$G$2:$G$745,"jan26")</f>
        <v>0</v>
      </c>
      <c r="E68" s="4">
        <f>SUMIFS('ledger'!$F$2:$F$745,'ledger'!$C$2:$C$745,"=uk",'ledger'!$D$2:$D$745,"=company",'ledger'!$E$2:$E$745,"=commissions",'ledger'!$G$2:$G$745,"feb26")</f>
        <v>0</v>
      </c>
      <c r="F68" s="4">
        <f>SUMIFS('ledger'!$F$2:$F$745,'ledger'!$C$2:$C$745,"=uk",'ledger'!$D$2:$D$745,"=company",'ledger'!$E$2:$E$745,"=commissions",'ledger'!$G$2:$G$745,"mar26")</f>
        <v>0</v>
      </c>
      <c r="G68" s="4">
        <f>SUMIFS('ledger'!$F$2:$F$745,'ledger'!$C$2:$C$745,"=uk",'ledger'!$D$2:$D$745,"=company",'ledger'!$E$2:$E$745,"=commissions",'ledger'!$G$2:$G$745,"apr26")</f>
        <v>0</v>
      </c>
      <c r="H68" s="4">
        <f>SUMIFS('ledger'!$F$2:$F$745,'ledger'!$C$2:$C$745,"=uk",'ledger'!$D$2:$D$745,"=company",'ledger'!$E$2:$E$745,"=commissions",'ledger'!$G$2:$G$745,"may26")</f>
        <v>0</v>
      </c>
      <c r="I68" s="4">
        <f>SUMIFS('ledger'!$F$2:$F$745,'ledger'!$C$2:$C$745,"=uk",'ledger'!$D$2:$D$745,"=company",'ledger'!$E$2:$E$745,"=commissions",'ledger'!$G$2:$G$745,"jun26")</f>
        <v>0</v>
      </c>
      <c r="J68" s="4">
        <f>SUMIFS('ledger'!$F$2:$F$745,'ledger'!$C$2:$C$745,"=uk",'ledger'!$D$2:$D$745,"=company",'ledger'!$E$2:$E$745,"=commissions",'ledger'!$G$2:$G$745,"jul26")</f>
        <v>0</v>
      </c>
      <c r="K68" s="4">
        <f>SUMIFS('ledger'!$F$2:$F$745,'ledger'!$C$2:$C$745,"=uk",'ledger'!$D$2:$D$745,"=company",'ledger'!$E$2:$E$745,"=commissions",'ledger'!$G$2:$G$745,"aug26")</f>
        <v>0</v>
      </c>
      <c r="L68" s="4">
        <f>(K68*(1+'Forecast drivers'!J9))</f>
        <v>0</v>
      </c>
      <c r="M68" s="4">
        <f>(L68*(1+'Forecast drivers'!K9))</f>
        <v>0</v>
      </c>
      <c r="N68" s="4">
        <f>(M68*(1+'Forecast drivers'!L9))</f>
        <v>0</v>
      </c>
      <c r="O68" s="4">
        <f>(N68*(1+'Forecast drivers'!M9))</f>
        <v>0</v>
      </c>
    </row>
    <row r="69">
      <c r="A69" s="0" t="inlineStr">
        <is>
          <t xml:space="preserve">Commissions</t>
        </is>
      </c>
      <c r="B69" s="0" t="inlineStr">
        <is>
          <t xml:space="preserve">United Kingdom</t>
        </is>
      </c>
      <c r="C69" s="0" t="inlineStr">
        <is>
          <t xml:space="preserve">Sales</t>
        </is>
      </c>
      <c r="D69" s="8">
        <f>SUMIFS('ledger'!$F$2:$F$745,'ledger'!$C$2:$C$745,"=uk",'ledger'!$D$2:$D$745,"=sales",'ledger'!$E$2:$E$745,"=commissions",'ledger'!$G$2:$G$745,"jan26")</f>
        <v>-85470</v>
      </c>
      <c r="E69" s="8">
        <f>SUMIFS('ledger'!$F$2:$F$745,'ledger'!$C$2:$C$745,"=uk",'ledger'!$D$2:$D$745,"=sales",'ledger'!$E$2:$E$745,"=commissions",'ledger'!$G$2:$G$745,"feb26")</f>
        <v>-77441</v>
      </c>
      <c r="F69" s="8">
        <f>SUMIFS('ledger'!$F$2:$F$745,'ledger'!$C$2:$C$745,"=uk",'ledger'!$D$2:$D$745,"=sales",'ledger'!$E$2:$E$745,"=commissions",'ledger'!$G$2:$G$745,"mar26")</f>
        <v>-87620</v>
      </c>
      <c r="G69" s="8">
        <f>SUMIFS('ledger'!$F$2:$F$745,'ledger'!$C$2:$C$745,"=uk",'ledger'!$D$2:$D$745,"=sales",'ledger'!$E$2:$E$745,"=commissions",'ledger'!$G$2:$G$745,"apr26")</f>
        <v>-93141</v>
      </c>
      <c r="H69" s="8">
        <f>SUMIFS('ledger'!$F$2:$F$745,'ledger'!$C$2:$C$745,"=uk",'ledger'!$D$2:$D$745,"=sales",'ledger'!$E$2:$E$745,"=commissions",'ledger'!$G$2:$G$745,"may26")</f>
        <v>-90634</v>
      </c>
      <c r="I69" s="8">
        <f>SUMIFS('ledger'!$F$2:$F$745,'ledger'!$C$2:$C$745,"=uk",'ledger'!$D$2:$D$745,"=sales",'ledger'!$E$2:$E$745,"=commissions",'ledger'!$G$2:$G$745,"jun26")</f>
        <v>-87211</v>
      </c>
      <c r="J69" s="8">
        <f>SUMIFS('ledger'!$F$2:$F$745,'ledger'!$C$2:$C$745,"=uk",'ledger'!$D$2:$D$745,"=sales",'ledger'!$E$2:$E$745,"=commissions",'ledger'!$G$2:$G$745,"jul26")</f>
        <v>-86310</v>
      </c>
      <c r="K69" s="8">
        <f>SUMIFS('ledger'!$F$2:$F$745,'ledger'!$C$2:$C$745,"=uk",'ledger'!$D$2:$D$745,"=sales",'ledger'!$E$2:$E$745,"=commissions",'ledger'!$G$2:$G$745,"aug26")</f>
        <v>-90652</v>
      </c>
      <c r="L69" s="8">
        <f>(-(L8)*'Forecast drivers'!J6)</f>
        <v>-93082.392257</v>
      </c>
      <c r="M69" s="8">
        <f>(-(M8)*'Forecast drivers'!K6)</f>
        <v>-94850.95770988298</v>
      </c>
      <c r="N69" s="8">
        <f>(-(N8)*'Forecast drivers'!L6)</f>
        <v>-96653.12590637075</v>
      </c>
      <c r="O69" s="8">
        <f>(-(O8)*'Forecast drivers'!M6)</f>
        <v>-98489.53529859179</v>
      </c>
    </row>
    <row r="70">
      <c r="A70" s="0" t="inlineStr">
        <is>
          <t xml:space="preserve">Commissions</t>
        </is>
      </c>
      <c r="B70" s="0" t="inlineStr">
        <is>
          <t xml:space="preserve">United Kingdom</t>
        </is>
      </c>
      <c r="C70" s="0" t="inlineStr">
        <is>
          <t xml:space="preserve">Marketing</t>
        </is>
      </c>
      <c r="D70" s="4">
        <f>SUMIFS('ledger'!$F$2:$F$745,'ledger'!$C$2:$C$745,"=uk",'ledger'!$D$2:$D$745,"=marketing",'ledger'!$E$2:$E$745,"=commissions",'ledger'!$G$2:$G$745,"jan26")</f>
        <v>0</v>
      </c>
      <c r="E70" s="4">
        <f>SUMIFS('ledger'!$F$2:$F$745,'ledger'!$C$2:$C$745,"=uk",'ledger'!$D$2:$D$745,"=marketing",'ledger'!$E$2:$E$745,"=commissions",'ledger'!$G$2:$G$745,"feb26")</f>
        <v>0</v>
      </c>
      <c r="F70" s="4">
        <f>SUMIFS('ledger'!$F$2:$F$745,'ledger'!$C$2:$C$745,"=uk",'ledger'!$D$2:$D$745,"=marketing",'ledger'!$E$2:$E$745,"=commissions",'ledger'!$G$2:$G$745,"mar26")</f>
        <v>0</v>
      </c>
      <c r="G70" s="4">
        <f>SUMIFS('ledger'!$F$2:$F$745,'ledger'!$C$2:$C$745,"=uk",'ledger'!$D$2:$D$745,"=marketing",'ledger'!$E$2:$E$745,"=commissions",'ledger'!$G$2:$G$745,"apr26")</f>
        <v>0</v>
      </c>
      <c r="H70" s="4">
        <f>SUMIFS('ledger'!$F$2:$F$745,'ledger'!$C$2:$C$745,"=uk",'ledger'!$D$2:$D$745,"=marketing",'ledger'!$E$2:$E$745,"=commissions",'ledger'!$G$2:$G$745,"may26")</f>
        <v>0</v>
      </c>
      <c r="I70" s="4">
        <f>SUMIFS('ledger'!$F$2:$F$745,'ledger'!$C$2:$C$745,"=uk",'ledger'!$D$2:$D$745,"=marketing",'ledger'!$E$2:$E$745,"=commissions",'ledger'!$G$2:$G$745,"jun26")</f>
        <v>0</v>
      </c>
      <c r="J70" s="4">
        <f>SUMIFS('ledger'!$F$2:$F$745,'ledger'!$C$2:$C$745,"=uk",'ledger'!$D$2:$D$745,"=marketing",'ledger'!$E$2:$E$745,"=commissions",'ledger'!$G$2:$G$745,"jul26")</f>
        <v>0</v>
      </c>
      <c r="K70" s="4">
        <f>SUMIFS('ledger'!$F$2:$F$745,'ledger'!$C$2:$C$745,"=uk",'ledger'!$D$2:$D$745,"=marketing",'ledger'!$E$2:$E$745,"=commissions",'ledger'!$G$2:$G$745,"aug26")</f>
        <v>0</v>
      </c>
      <c r="L70" s="4">
        <f>(K70*(1+'Forecast drivers'!J9))</f>
        <v>0</v>
      </c>
      <c r="M70" s="4">
        <f>(L70*(1+'Forecast drivers'!K9))</f>
        <v>0</v>
      </c>
      <c r="N70" s="4">
        <f>(M70*(1+'Forecast drivers'!L9))</f>
        <v>0</v>
      </c>
      <c r="O70" s="4">
        <f>(N70*(1+'Forecast drivers'!M9))</f>
        <v>0</v>
      </c>
    </row>
    <row r="71">
      <c r="A71" s="0" t="inlineStr">
        <is>
          <t xml:space="preserve">Commissions</t>
        </is>
      </c>
      <c r="B71" s="0" t="inlineStr">
        <is>
          <t xml:space="preserve">United Kingdom</t>
        </is>
      </c>
      <c r="C71" s="0" t="inlineStr">
        <is>
          <t xml:space="preserve">Engineering</t>
        </is>
      </c>
      <c r="D71" s="4">
        <f>SUMIFS('ledger'!$F$2:$F$745,'ledger'!$C$2:$C$745,"=uk",'ledger'!$D$2:$D$745,"=engineering",'ledger'!$E$2:$E$745,"=commissions",'ledger'!$G$2:$G$745,"jan26")</f>
        <v>0</v>
      </c>
      <c r="E71" s="4">
        <f>SUMIFS('ledger'!$F$2:$F$745,'ledger'!$C$2:$C$745,"=uk",'ledger'!$D$2:$D$745,"=engineering",'ledger'!$E$2:$E$745,"=commissions",'ledger'!$G$2:$G$745,"feb26")</f>
        <v>0</v>
      </c>
      <c r="F71" s="4">
        <f>SUMIFS('ledger'!$F$2:$F$745,'ledger'!$C$2:$C$745,"=uk",'ledger'!$D$2:$D$745,"=engineering",'ledger'!$E$2:$E$745,"=commissions",'ledger'!$G$2:$G$745,"mar26")</f>
        <v>0</v>
      </c>
      <c r="G71" s="4">
        <f>SUMIFS('ledger'!$F$2:$F$745,'ledger'!$C$2:$C$745,"=uk",'ledger'!$D$2:$D$745,"=engineering",'ledger'!$E$2:$E$745,"=commissions",'ledger'!$G$2:$G$745,"apr26")</f>
        <v>0</v>
      </c>
      <c r="H71" s="4">
        <f>SUMIFS('ledger'!$F$2:$F$745,'ledger'!$C$2:$C$745,"=uk",'ledger'!$D$2:$D$745,"=engineering",'ledger'!$E$2:$E$745,"=commissions",'ledger'!$G$2:$G$745,"may26")</f>
        <v>0</v>
      </c>
      <c r="I71" s="4">
        <f>SUMIFS('ledger'!$F$2:$F$745,'ledger'!$C$2:$C$745,"=uk",'ledger'!$D$2:$D$745,"=engineering",'ledger'!$E$2:$E$745,"=commissions",'ledger'!$G$2:$G$745,"jun26")</f>
        <v>0</v>
      </c>
      <c r="J71" s="4">
        <f>SUMIFS('ledger'!$F$2:$F$745,'ledger'!$C$2:$C$745,"=uk",'ledger'!$D$2:$D$745,"=engineering",'ledger'!$E$2:$E$745,"=commissions",'ledger'!$G$2:$G$745,"jul26")</f>
        <v>0</v>
      </c>
      <c r="K71" s="4">
        <f>SUMIFS('ledger'!$F$2:$F$745,'ledger'!$C$2:$C$745,"=uk",'ledger'!$D$2:$D$745,"=engineering",'ledger'!$E$2:$E$745,"=commissions",'ledger'!$G$2:$G$745,"aug26")</f>
        <v>0</v>
      </c>
      <c r="L71" s="4">
        <f>(K71*(1+'Forecast drivers'!J9))</f>
        <v>0</v>
      </c>
      <c r="M71" s="4">
        <f>(L71*(1+'Forecast drivers'!K9))</f>
        <v>0</v>
      </c>
      <c r="N71" s="4">
        <f>(M71*(1+'Forecast drivers'!L9))</f>
        <v>0</v>
      </c>
      <c r="O71" s="4">
        <f>(N71*(1+'Forecast drivers'!M9))</f>
        <v>0</v>
      </c>
    </row>
    <row r="72">
      <c r="A72" s="0" t="inlineStr">
        <is>
          <t xml:space="preserve">Commissions</t>
        </is>
      </c>
      <c r="B72" s="0" t="inlineStr">
        <is>
          <t xml:space="preserve">United Kingdom</t>
        </is>
      </c>
      <c r="C72" s="0" t="inlineStr">
        <is>
          <t xml:space="preserve">Customer success</t>
        </is>
      </c>
      <c r="D72" s="4">
        <f>SUMIFS('ledger'!$F$2:$F$745,'ledger'!$C$2:$C$745,"=uk",'ledger'!$D$2:$D$745,"=customer_success",'ledger'!$E$2:$E$745,"=commissions",'ledger'!$G$2:$G$745,"jan26")</f>
        <v>0</v>
      </c>
      <c r="E72" s="4">
        <f>SUMIFS('ledger'!$F$2:$F$745,'ledger'!$C$2:$C$745,"=uk",'ledger'!$D$2:$D$745,"=customer_success",'ledger'!$E$2:$E$745,"=commissions",'ledger'!$G$2:$G$745,"feb26")</f>
        <v>0</v>
      </c>
      <c r="F72" s="4">
        <f>SUMIFS('ledger'!$F$2:$F$745,'ledger'!$C$2:$C$745,"=uk",'ledger'!$D$2:$D$745,"=customer_success",'ledger'!$E$2:$E$745,"=commissions",'ledger'!$G$2:$G$745,"mar26")</f>
        <v>0</v>
      </c>
      <c r="G72" s="4">
        <f>SUMIFS('ledger'!$F$2:$F$745,'ledger'!$C$2:$C$745,"=uk",'ledger'!$D$2:$D$745,"=customer_success",'ledger'!$E$2:$E$745,"=commissions",'ledger'!$G$2:$G$745,"apr26")</f>
        <v>0</v>
      </c>
      <c r="H72" s="4">
        <f>SUMIFS('ledger'!$F$2:$F$745,'ledger'!$C$2:$C$745,"=uk",'ledger'!$D$2:$D$745,"=customer_success",'ledger'!$E$2:$E$745,"=commissions",'ledger'!$G$2:$G$745,"may26")</f>
        <v>0</v>
      </c>
      <c r="I72" s="4">
        <f>SUMIFS('ledger'!$F$2:$F$745,'ledger'!$C$2:$C$745,"=uk",'ledger'!$D$2:$D$745,"=customer_success",'ledger'!$E$2:$E$745,"=commissions",'ledger'!$G$2:$G$745,"jun26")</f>
        <v>0</v>
      </c>
      <c r="J72" s="4">
        <f>SUMIFS('ledger'!$F$2:$F$745,'ledger'!$C$2:$C$745,"=uk",'ledger'!$D$2:$D$745,"=customer_success",'ledger'!$E$2:$E$745,"=commissions",'ledger'!$G$2:$G$745,"jul26")</f>
        <v>0</v>
      </c>
      <c r="K72" s="4">
        <f>SUMIFS('ledger'!$F$2:$F$745,'ledger'!$C$2:$C$745,"=uk",'ledger'!$D$2:$D$745,"=customer_success",'ledger'!$E$2:$E$745,"=commissions",'ledger'!$G$2:$G$745,"aug26")</f>
        <v>0</v>
      </c>
      <c r="L72" s="4">
        <f>(K72*(1+'Forecast drivers'!J9))</f>
        <v>0</v>
      </c>
      <c r="M72" s="4">
        <f>(L72*(1+'Forecast drivers'!K9))</f>
        <v>0</v>
      </c>
      <c r="N72" s="4">
        <f>(M72*(1+'Forecast drivers'!L9))</f>
        <v>0</v>
      </c>
      <c r="O72" s="4">
        <f>(N72*(1+'Forecast drivers'!M9))</f>
        <v>0</v>
      </c>
    </row>
    <row r="73">
      <c r="A73" s="0" t="inlineStr">
        <is>
          <t xml:space="preserve">Commissions</t>
        </is>
      </c>
      <c r="B73" s="0" t="inlineStr">
        <is>
          <t xml:space="preserve">United Kingdom</t>
        </is>
      </c>
      <c r="C73" s="0" t="inlineStr">
        <is>
          <t xml:space="preserve">G&amp;A</t>
        </is>
      </c>
      <c r="D73" s="4">
        <f>SUMIFS('ledger'!$F$2:$F$745,'ledger'!$C$2:$C$745,"=uk",'ledger'!$D$2:$D$745,"=g_and_a",'ledger'!$E$2:$E$745,"=commissions",'ledger'!$G$2:$G$745,"jan26")</f>
        <v>0</v>
      </c>
      <c r="E73" s="4">
        <f>SUMIFS('ledger'!$F$2:$F$745,'ledger'!$C$2:$C$745,"=uk",'ledger'!$D$2:$D$745,"=g_and_a",'ledger'!$E$2:$E$745,"=commissions",'ledger'!$G$2:$G$745,"feb26")</f>
        <v>0</v>
      </c>
      <c r="F73" s="4">
        <f>SUMIFS('ledger'!$F$2:$F$745,'ledger'!$C$2:$C$745,"=uk",'ledger'!$D$2:$D$745,"=g_and_a",'ledger'!$E$2:$E$745,"=commissions",'ledger'!$G$2:$G$745,"mar26")</f>
        <v>0</v>
      </c>
      <c r="G73" s="4">
        <f>SUMIFS('ledger'!$F$2:$F$745,'ledger'!$C$2:$C$745,"=uk",'ledger'!$D$2:$D$745,"=g_and_a",'ledger'!$E$2:$E$745,"=commissions",'ledger'!$G$2:$G$745,"apr26")</f>
        <v>0</v>
      </c>
      <c r="H73" s="4">
        <f>SUMIFS('ledger'!$F$2:$F$745,'ledger'!$C$2:$C$745,"=uk",'ledger'!$D$2:$D$745,"=g_and_a",'ledger'!$E$2:$E$745,"=commissions",'ledger'!$G$2:$G$745,"may26")</f>
        <v>0</v>
      </c>
      <c r="I73" s="4">
        <f>SUMIFS('ledger'!$F$2:$F$745,'ledger'!$C$2:$C$745,"=uk",'ledger'!$D$2:$D$745,"=g_and_a",'ledger'!$E$2:$E$745,"=commissions",'ledger'!$G$2:$G$745,"jun26")</f>
        <v>0</v>
      </c>
      <c r="J73" s="4">
        <f>SUMIFS('ledger'!$F$2:$F$745,'ledger'!$C$2:$C$745,"=uk",'ledger'!$D$2:$D$745,"=g_and_a",'ledger'!$E$2:$E$745,"=commissions",'ledger'!$G$2:$G$745,"jul26")</f>
        <v>0</v>
      </c>
      <c r="K73" s="4">
        <f>SUMIFS('ledger'!$F$2:$F$745,'ledger'!$C$2:$C$745,"=uk",'ledger'!$D$2:$D$745,"=g_and_a",'ledger'!$E$2:$E$745,"=commissions",'ledger'!$G$2:$G$745,"aug26")</f>
        <v>0</v>
      </c>
      <c r="L73" s="4">
        <f>(K73*(1+'Forecast drivers'!J9))</f>
        <v>0</v>
      </c>
      <c r="M73" s="4">
        <f>(L73*(1+'Forecast drivers'!K9))</f>
        <v>0</v>
      </c>
      <c r="N73" s="4">
        <f>(M73*(1+'Forecast drivers'!L9))</f>
        <v>0</v>
      </c>
      <c r="O73" s="4">
        <f>(N73*(1+'Forecast drivers'!M9))</f>
        <v>0</v>
      </c>
    </row>
    <row r="74">
      <c r="A74" s="0" t="inlineStr">
        <is>
          <t xml:space="preserve">Contractors</t>
        </is>
      </c>
      <c r="B74" s="0" t="inlineStr">
        <is>
          <t xml:space="preserve">United States</t>
        </is>
      </c>
      <c r="C74" s="0" t="inlineStr">
        <is>
          <t xml:space="preserve">Company (revenue and cost of revenue)</t>
        </is>
      </c>
      <c r="D74" s="4">
        <f>SUMIFS('ledger'!$F$2:$F$745,'ledger'!$C$2:$C$745,"=us",'ledger'!$D$2:$D$745,"=company",'ledger'!$E$2:$E$745,"=contractors",'ledger'!$G$2:$G$745,"jan26")</f>
        <v>0</v>
      </c>
      <c r="E74" s="4">
        <f>SUMIFS('ledger'!$F$2:$F$745,'ledger'!$C$2:$C$745,"=us",'ledger'!$D$2:$D$745,"=company",'ledger'!$E$2:$E$745,"=contractors",'ledger'!$G$2:$G$745,"feb26")</f>
        <v>0</v>
      </c>
      <c r="F74" s="4">
        <f>SUMIFS('ledger'!$F$2:$F$745,'ledger'!$C$2:$C$745,"=us",'ledger'!$D$2:$D$745,"=company",'ledger'!$E$2:$E$745,"=contractors",'ledger'!$G$2:$G$745,"mar26")</f>
        <v>0</v>
      </c>
      <c r="G74" s="4">
        <f>SUMIFS('ledger'!$F$2:$F$745,'ledger'!$C$2:$C$745,"=us",'ledger'!$D$2:$D$745,"=company",'ledger'!$E$2:$E$745,"=contractors",'ledger'!$G$2:$G$745,"apr26")</f>
        <v>0</v>
      </c>
      <c r="H74" s="4">
        <f>SUMIFS('ledger'!$F$2:$F$745,'ledger'!$C$2:$C$745,"=us",'ledger'!$D$2:$D$745,"=company",'ledger'!$E$2:$E$745,"=contractors",'ledger'!$G$2:$G$745,"may26")</f>
        <v>0</v>
      </c>
      <c r="I74" s="4">
        <f>SUMIFS('ledger'!$F$2:$F$745,'ledger'!$C$2:$C$745,"=us",'ledger'!$D$2:$D$745,"=company",'ledger'!$E$2:$E$745,"=contractors",'ledger'!$G$2:$G$745,"jun26")</f>
        <v>0</v>
      </c>
      <c r="J74" s="4">
        <f>SUMIFS('ledger'!$F$2:$F$745,'ledger'!$C$2:$C$745,"=us",'ledger'!$D$2:$D$745,"=company",'ledger'!$E$2:$E$745,"=contractors",'ledger'!$G$2:$G$745,"jul26")</f>
        <v>0</v>
      </c>
      <c r="K74" s="4">
        <f>SUMIFS('ledger'!$F$2:$F$745,'ledger'!$C$2:$C$745,"=us",'ledger'!$D$2:$D$745,"=company",'ledger'!$E$2:$E$745,"=contractors",'ledger'!$G$2:$G$745,"aug26")</f>
        <v>0</v>
      </c>
      <c r="L74" s="4">
        <f>(K74*(1+'Forecast drivers'!J9))</f>
        <v>0</v>
      </c>
      <c r="M74" s="4">
        <f>(L74*(1+'Forecast drivers'!K9))</f>
        <v>0</v>
      </c>
      <c r="N74" s="4">
        <f>(M74*(1+'Forecast drivers'!L9))</f>
        <v>0</v>
      </c>
      <c r="O74" s="4">
        <f>(N74*(1+'Forecast drivers'!M9))</f>
        <v>0</v>
      </c>
    </row>
    <row r="75">
      <c r="A75" s="0" t="inlineStr">
        <is>
          <t xml:space="preserve">Contractors</t>
        </is>
      </c>
      <c r="B75" s="0" t="inlineStr">
        <is>
          <t xml:space="preserve">United States</t>
        </is>
      </c>
      <c r="C75" s="0" t="inlineStr">
        <is>
          <t xml:space="preserve">Sales</t>
        </is>
      </c>
      <c r="D75" s="4">
        <f>SUMIFS('ledger'!$F$2:$F$745,'ledger'!$C$2:$C$745,"=us",'ledger'!$D$2:$D$745,"=sales",'ledger'!$E$2:$E$745,"=contractors",'ledger'!$G$2:$G$745,"jan26")</f>
        <v>0</v>
      </c>
      <c r="E75" s="4">
        <f>SUMIFS('ledger'!$F$2:$F$745,'ledger'!$C$2:$C$745,"=us",'ledger'!$D$2:$D$745,"=sales",'ledger'!$E$2:$E$745,"=contractors",'ledger'!$G$2:$G$745,"feb26")</f>
        <v>0</v>
      </c>
      <c r="F75" s="4">
        <f>SUMIFS('ledger'!$F$2:$F$745,'ledger'!$C$2:$C$745,"=us",'ledger'!$D$2:$D$745,"=sales",'ledger'!$E$2:$E$745,"=contractors",'ledger'!$G$2:$G$745,"mar26")</f>
        <v>0</v>
      </c>
      <c r="G75" s="4">
        <f>SUMIFS('ledger'!$F$2:$F$745,'ledger'!$C$2:$C$745,"=us",'ledger'!$D$2:$D$745,"=sales",'ledger'!$E$2:$E$745,"=contractors",'ledger'!$G$2:$G$745,"apr26")</f>
        <v>0</v>
      </c>
      <c r="H75" s="4">
        <f>SUMIFS('ledger'!$F$2:$F$745,'ledger'!$C$2:$C$745,"=us",'ledger'!$D$2:$D$745,"=sales",'ledger'!$E$2:$E$745,"=contractors",'ledger'!$G$2:$G$745,"may26")</f>
        <v>0</v>
      </c>
      <c r="I75" s="4">
        <f>SUMIFS('ledger'!$F$2:$F$745,'ledger'!$C$2:$C$745,"=us",'ledger'!$D$2:$D$745,"=sales",'ledger'!$E$2:$E$745,"=contractors",'ledger'!$G$2:$G$745,"jun26")</f>
        <v>0</v>
      </c>
      <c r="J75" s="4">
        <f>SUMIFS('ledger'!$F$2:$F$745,'ledger'!$C$2:$C$745,"=us",'ledger'!$D$2:$D$745,"=sales",'ledger'!$E$2:$E$745,"=contractors",'ledger'!$G$2:$G$745,"jul26")</f>
        <v>0</v>
      </c>
      <c r="K75" s="4">
        <f>SUMIFS('ledger'!$F$2:$F$745,'ledger'!$C$2:$C$745,"=us",'ledger'!$D$2:$D$745,"=sales",'ledger'!$E$2:$E$745,"=contractors",'ledger'!$G$2:$G$745,"aug26")</f>
        <v>0</v>
      </c>
      <c r="L75" s="4">
        <f>(K75*(1+'Forecast drivers'!J9))</f>
        <v>0</v>
      </c>
      <c r="M75" s="4">
        <f>(L75*(1+'Forecast drivers'!K9))</f>
        <v>0</v>
      </c>
      <c r="N75" s="4">
        <f>(M75*(1+'Forecast drivers'!L9))</f>
        <v>0</v>
      </c>
      <c r="O75" s="4">
        <f>(N75*(1+'Forecast drivers'!M9))</f>
        <v>0</v>
      </c>
    </row>
    <row r="76">
      <c r="A76" s="0" t="inlineStr">
        <is>
          <t xml:space="preserve">Contractors</t>
        </is>
      </c>
      <c r="B76" s="0" t="inlineStr">
        <is>
          <t xml:space="preserve">United States</t>
        </is>
      </c>
      <c r="C76" s="0" t="inlineStr">
        <is>
          <t xml:space="preserve">Marketing</t>
        </is>
      </c>
      <c r="D76" s="4">
        <f>SUMIFS('ledger'!$F$2:$F$745,'ledger'!$C$2:$C$745,"=us",'ledger'!$D$2:$D$745,"=marketing",'ledger'!$E$2:$E$745,"=contractors",'ledger'!$G$2:$G$745,"jan26")</f>
        <v>0</v>
      </c>
      <c r="E76" s="4">
        <f>SUMIFS('ledger'!$F$2:$F$745,'ledger'!$C$2:$C$745,"=us",'ledger'!$D$2:$D$745,"=marketing",'ledger'!$E$2:$E$745,"=contractors",'ledger'!$G$2:$G$745,"feb26")</f>
        <v>0</v>
      </c>
      <c r="F76" s="4">
        <f>SUMIFS('ledger'!$F$2:$F$745,'ledger'!$C$2:$C$745,"=us",'ledger'!$D$2:$D$745,"=marketing",'ledger'!$E$2:$E$745,"=contractors",'ledger'!$G$2:$G$745,"mar26")</f>
        <v>0</v>
      </c>
      <c r="G76" s="4">
        <f>SUMIFS('ledger'!$F$2:$F$745,'ledger'!$C$2:$C$745,"=us",'ledger'!$D$2:$D$745,"=marketing",'ledger'!$E$2:$E$745,"=contractors",'ledger'!$G$2:$G$745,"apr26")</f>
        <v>0</v>
      </c>
      <c r="H76" s="4">
        <f>SUMIFS('ledger'!$F$2:$F$745,'ledger'!$C$2:$C$745,"=us",'ledger'!$D$2:$D$745,"=marketing",'ledger'!$E$2:$E$745,"=contractors",'ledger'!$G$2:$G$745,"may26")</f>
        <v>0</v>
      </c>
      <c r="I76" s="4">
        <f>SUMIFS('ledger'!$F$2:$F$745,'ledger'!$C$2:$C$745,"=us",'ledger'!$D$2:$D$745,"=marketing",'ledger'!$E$2:$E$745,"=contractors",'ledger'!$G$2:$G$745,"jun26")</f>
        <v>0</v>
      </c>
      <c r="J76" s="4">
        <f>SUMIFS('ledger'!$F$2:$F$745,'ledger'!$C$2:$C$745,"=us",'ledger'!$D$2:$D$745,"=marketing",'ledger'!$E$2:$E$745,"=contractors",'ledger'!$G$2:$G$745,"jul26")</f>
        <v>0</v>
      </c>
      <c r="K76" s="4">
        <f>SUMIFS('ledger'!$F$2:$F$745,'ledger'!$C$2:$C$745,"=us",'ledger'!$D$2:$D$745,"=marketing",'ledger'!$E$2:$E$745,"=contractors",'ledger'!$G$2:$G$745,"aug26")</f>
        <v>0</v>
      </c>
      <c r="L76" s="4">
        <f>(K76*(1+'Forecast drivers'!J9))</f>
        <v>0</v>
      </c>
      <c r="M76" s="4">
        <f>(L76*(1+'Forecast drivers'!K9))</f>
        <v>0</v>
      </c>
      <c r="N76" s="4">
        <f>(M76*(1+'Forecast drivers'!L9))</f>
        <v>0</v>
      </c>
      <c r="O76" s="4">
        <f>(N76*(1+'Forecast drivers'!M9))</f>
        <v>0</v>
      </c>
    </row>
    <row r="77">
      <c r="A77" s="0" t="inlineStr">
        <is>
          <t xml:space="preserve">Contractors</t>
        </is>
      </c>
      <c r="B77" s="0" t="inlineStr">
        <is>
          <t xml:space="preserve">United States</t>
        </is>
      </c>
      <c r="C77" s="0" t="inlineStr">
        <is>
          <t xml:space="preserve">Engineering</t>
        </is>
      </c>
      <c r="D77" s="8">
        <f>SUMIFS('ledger'!$F$2:$F$745,'ledger'!$C$2:$C$745,"=us",'ledger'!$D$2:$D$745,"=engineering",'ledger'!$E$2:$E$745,"=contractors",'ledger'!$G$2:$G$745,"jan26")</f>
        <v>-55173</v>
      </c>
      <c r="E77" s="8">
        <f>SUMIFS('ledger'!$F$2:$F$745,'ledger'!$C$2:$C$745,"=us",'ledger'!$D$2:$D$745,"=engineering",'ledger'!$E$2:$E$745,"=contractors",'ledger'!$G$2:$G$745,"feb26")</f>
        <v>-59657</v>
      </c>
      <c r="F77" s="8">
        <f>SUMIFS('ledger'!$F$2:$F$745,'ledger'!$C$2:$C$745,"=us",'ledger'!$D$2:$D$745,"=engineering",'ledger'!$E$2:$E$745,"=contractors",'ledger'!$G$2:$G$745,"mar26")</f>
        <v>-64544</v>
      </c>
      <c r="G77" s="8">
        <f>SUMIFS('ledger'!$F$2:$F$745,'ledger'!$C$2:$C$745,"=us",'ledger'!$D$2:$D$745,"=engineering",'ledger'!$E$2:$E$745,"=contractors",'ledger'!$G$2:$G$745,"apr26")</f>
        <v>-60424</v>
      </c>
      <c r="H77" s="8">
        <f>SUMIFS('ledger'!$F$2:$F$745,'ledger'!$C$2:$C$745,"=us",'ledger'!$D$2:$D$745,"=engineering",'ledger'!$E$2:$E$745,"=contractors",'ledger'!$G$2:$G$745,"may26")</f>
        <v>-63817</v>
      </c>
      <c r="I77" s="8">
        <f>SUMIFS('ledger'!$F$2:$F$745,'ledger'!$C$2:$C$745,"=us",'ledger'!$D$2:$D$745,"=engineering",'ledger'!$E$2:$E$745,"=contractors",'ledger'!$G$2:$G$745,"jun26")</f>
        <v>-60119</v>
      </c>
      <c r="J77" s="8">
        <f>SUMIFS('ledger'!$F$2:$F$745,'ledger'!$C$2:$C$745,"=us",'ledger'!$D$2:$D$745,"=engineering",'ledger'!$E$2:$E$745,"=contractors",'ledger'!$G$2:$G$745,"jul26")</f>
        <v>-64804</v>
      </c>
      <c r="K77" s="8">
        <f>SUMIFS('ledger'!$F$2:$F$745,'ledger'!$C$2:$C$745,"=us",'ledger'!$D$2:$D$745,"=engineering",'ledger'!$E$2:$E$745,"=contractors",'ledger'!$G$2:$G$745,"aug26")</f>
        <v>-63416</v>
      </c>
      <c r="L77" s="8">
        <f>(K77*(1+'Forecast drivers'!J9))</f>
        <v>-63796.496</v>
      </c>
      <c r="M77" s="8">
        <f>(L77*(1+'Forecast drivers'!K9))</f>
        <v>-64179.274976</v>
      </c>
      <c r="N77" s="8">
        <f>(M77*(1+'Forecast drivers'!L9))</f>
        <v>-64564.350625856</v>
      </c>
      <c r="O77" s="8">
        <f>(N77*(1+'Forecast drivers'!M9))</f>
        <v>-64951.73672961114</v>
      </c>
    </row>
    <row r="78">
      <c r="A78" s="0" t="inlineStr">
        <is>
          <t xml:space="preserve">Contractors</t>
        </is>
      </c>
      <c r="B78" s="0" t="inlineStr">
        <is>
          <t xml:space="preserve">United States</t>
        </is>
      </c>
      <c r="C78" s="0" t="inlineStr">
        <is>
          <t xml:space="preserve">Customer success</t>
        </is>
      </c>
      <c r="D78" s="4">
        <f>SUMIFS('ledger'!$F$2:$F$745,'ledger'!$C$2:$C$745,"=us",'ledger'!$D$2:$D$745,"=customer_success",'ledger'!$E$2:$E$745,"=contractors",'ledger'!$G$2:$G$745,"jan26")</f>
        <v>0</v>
      </c>
      <c r="E78" s="4">
        <f>SUMIFS('ledger'!$F$2:$F$745,'ledger'!$C$2:$C$745,"=us",'ledger'!$D$2:$D$745,"=customer_success",'ledger'!$E$2:$E$745,"=contractors",'ledger'!$G$2:$G$745,"feb26")</f>
        <v>0</v>
      </c>
      <c r="F78" s="4">
        <f>SUMIFS('ledger'!$F$2:$F$745,'ledger'!$C$2:$C$745,"=us",'ledger'!$D$2:$D$745,"=customer_success",'ledger'!$E$2:$E$745,"=contractors",'ledger'!$G$2:$G$745,"mar26")</f>
        <v>0</v>
      </c>
      <c r="G78" s="4">
        <f>SUMIFS('ledger'!$F$2:$F$745,'ledger'!$C$2:$C$745,"=us",'ledger'!$D$2:$D$745,"=customer_success",'ledger'!$E$2:$E$745,"=contractors",'ledger'!$G$2:$G$745,"apr26")</f>
        <v>0</v>
      </c>
      <c r="H78" s="4">
        <f>SUMIFS('ledger'!$F$2:$F$745,'ledger'!$C$2:$C$745,"=us",'ledger'!$D$2:$D$745,"=customer_success",'ledger'!$E$2:$E$745,"=contractors",'ledger'!$G$2:$G$745,"may26")</f>
        <v>0</v>
      </c>
      <c r="I78" s="4">
        <f>SUMIFS('ledger'!$F$2:$F$745,'ledger'!$C$2:$C$745,"=us",'ledger'!$D$2:$D$745,"=customer_success",'ledger'!$E$2:$E$745,"=contractors",'ledger'!$G$2:$G$745,"jun26")</f>
        <v>0</v>
      </c>
      <c r="J78" s="4">
        <f>SUMIFS('ledger'!$F$2:$F$745,'ledger'!$C$2:$C$745,"=us",'ledger'!$D$2:$D$745,"=customer_success",'ledger'!$E$2:$E$745,"=contractors",'ledger'!$G$2:$G$745,"jul26")</f>
        <v>0</v>
      </c>
      <c r="K78" s="4">
        <f>SUMIFS('ledger'!$F$2:$F$745,'ledger'!$C$2:$C$745,"=us",'ledger'!$D$2:$D$745,"=customer_success",'ledger'!$E$2:$E$745,"=contractors",'ledger'!$G$2:$G$745,"aug26")</f>
        <v>0</v>
      </c>
      <c r="L78" s="4">
        <f>(K78*(1+'Forecast drivers'!J9))</f>
        <v>0</v>
      </c>
      <c r="M78" s="4">
        <f>(L78*(1+'Forecast drivers'!K9))</f>
        <v>0</v>
      </c>
      <c r="N78" s="4">
        <f>(M78*(1+'Forecast drivers'!L9))</f>
        <v>0</v>
      </c>
      <c r="O78" s="4">
        <f>(N78*(1+'Forecast drivers'!M9))</f>
        <v>0</v>
      </c>
    </row>
    <row r="79">
      <c r="A79" s="0" t="inlineStr">
        <is>
          <t xml:space="preserve">Contractors</t>
        </is>
      </c>
      <c r="B79" s="0" t="inlineStr">
        <is>
          <t xml:space="preserve">United States</t>
        </is>
      </c>
      <c r="C79" s="0" t="inlineStr">
        <is>
          <t xml:space="preserve">G&amp;A</t>
        </is>
      </c>
      <c r="D79" s="4">
        <f>SUMIFS('ledger'!$F$2:$F$745,'ledger'!$C$2:$C$745,"=us",'ledger'!$D$2:$D$745,"=g_and_a",'ledger'!$E$2:$E$745,"=contractors",'ledger'!$G$2:$G$745,"jan26")</f>
        <v>0</v>
      </c>
      <c r="E79" s="4">
        <f>SUMIFS('ledger'!$F$2:$F$745,'ledger'!$C$2:$C$745,"=us",'ledger'!$D$2:$D$745,"=g_and_a",'ledger'!$E$2:$E$745,"=contractors",'ledger'!$G$2:$G$745,"feb26")</f>
        <v>0</v>
      </c>
      <c r="F79" s="4">
        <f>SUMIFS('ledger'!$F$2:$F$745,'ledger'!$C$2:$C$745,"=us",'ledger'!$D$2:$D$745,"=g_and_a",'ledger'!$E$2:$E$745,"=contractors",'ledger'!$G$2:$G$745,"mar26")</f>
        <v>0</v>
      </c>
      <c r="G79" s="4">
        <f>SUMIFS('ledger'!$F$2:$F$745,'ledger'!$C$2:$C$745,"=us",'ledger'!$D$2:$D$745,"=g_and_a",'ledger'!$E$2:$E$745,"=contractors",'ledger'!$G$2:$G$745,"apr26")</f>
        <v>0</v>
      </c>
      <c r="H79" s="4">
        <f>SUMIFS('ledger'!$F$2:$F$745,'ledger'!$C$2:$C$745,"=us",'ledger'!$D$2:$D$745,"=g_and_a",'ledger'!$E$2:$E$745,"=contractors",'ledger'!$G$2:$G$745,"may26")</f>
        <v>0</v>
      </c>
      <c r="I79" s="4">
        <f>SUMIFS('ledger'!$F$2:$F$745,'ledger'!$C$2:$C$745,"=us",'ledger'!$D$2:$D$745,"=g_and_a",'ledger'!$E$2:$E$745,"=contractors",'ledger'!$G$2:$G$745,"jun26")</f>
        <v>0</v>
      </c>
      <c r="J79" s="4">
        <f>SUMIFS('ledger'!$F$2:$F$745,'ledger'!$C$2:$C$745,"=us",'ledger'!$D$2:$D$745,"=g_and_a",'ledger'!$E$2:$E$745,"=contractors",'ledger'!$G$2:$G$745,"jul26")</f>
        <v>0</v>
      </c>
      <c r="K79" s="4">
        <f>SUMIFS('ledger'!$F$2:$F$745,'ledger'!$C$2:$C$745,"=us",'ledger'!$D$2:$D$745,"=g_and_a",'ledger'!$E$2:$E$745,"=contractors",'ledger'!$G$2:$G$745,"aug26")</f>
        <v>0</v>
      </c>
      <c r="L79" s="4">
        <f>(K79*(1+'Forecast drivers'!J9))</f>
        <v>0</v>
      </c>
      <c r="M79" s="4">
        <f>(L79*(1+'Forecast drivers'!K9))</f>
        <v>0</v>
      </c>
      <c r="N79" s="4">
        <f>(M79*(1+'Forecast drivers'!L9))</f>
        <v>0</v>
      </c>
      <c r="O79" s="4">
        <f>(N79*(1+'Forecast drivers'!M9))</f>
        <v>0</v>
      </c>
    </row>
    <row r="80">
      <c r="A80" s="0" t="inlineStr">
        <is>
          <t xml:space="preserve">Contractors</t>
        </is>
      </c>
      <c r="B80" s="0" t="inlineStr">
        <is>
          <t xml:space="preserve">United Kingdom</t>
        </is>
      </c>
      <c r="C80" s="0" t="inlineStr">
        <is>
          <t xml:space="preserve">Company (revenue and cost of revenue)</t>
        </is>
      </c>
      <c r="D80" s="4">
        <f>SUMIFS('ledger'!$F$2:$F$745,'ledger'!$C$2:$C$745,"=uk",'ledger'!$D$2:$D$745,"=company",'ledger'!$E$2:$E$745,"=contractors",'ledger'!$G$2:$G$745,"jan26")</f>
        <v>0</v>
      </c>
      <c r="E80" s="4">
        <f>SUMIFS('ledger'!$F$2:$F$745,'ledger'!$C$2:$C$745,"=uk",'ledger'!$D$2:$D$745,"=company",'ledger'!$E$2:$E$745,"=contractors",'ledger'!$G$2:$G$745,"feb26")</f>
        <v>0</v>
      </c>
      <c r="F80" s="4">
        <f>SUMIFS('ledger'!$F$2:$F$745,'ledger'!$C$2:$C$745,"=uk",'ledger'!$D$2:$D$745,"=company",'ledger'!$E$2:$E$745,"=contractors",'ledger'!$G$2:$G$745,"mar26")</f>
        <v>0</v>
      </c>
      <c r="G80" s="4">
        <f>SUMIFS('ledger'!$F$2:$F$745,'ledger'!$C$2:$C$745,"=uk",'ledger'!$D$2:$D$745,"=company",'ledger'!$E$2:$E$745,"=contractors",'ledger'!$G$2:$G$745,"apr26")</f>
        <v>0</v>
      </c>
      <c r="H80" s="4">
        <f>SUMIFS('ledger'!$F$2:$F$745,'ledger'!$C$2:$C$745,"=uk",'ledger'!$D$2:$D$745,"=company",'ledger'!$E$2:$E$745,"=contractors",'ledger'!$G$2:$G$745,"may26")</f>
        <v>0</v>
      </c>
      <c r="I80" s="4">
        <f>SUMIFS('ledger'!$F$2:$F$745,'ledger'!$C$2:$C$745,"=uk",'ledger'!$D$2:$D$745,"=company",'ledger'!$E$2:$E$745,"=contractors",'ledger'!$G$2:$G$745,"jun26")</f>
        <v>0</v>
      </c>
      <c r="J80" s="4">
        <f>SUMIFS('ledger'!$F$2:$F$745,'ledger'!$C$2:$C$745,"=uk",'ledger'!$D$2:$D$745,"=company",'ledger'!$E$2:$E$745,"=contractors",'ledger'!$G$2:$G$745,"jul26")</f>
        <v>0</v>
      </c>
      <c r="K80" s="4">
        <f>SUMIFS('ledger'!$F$2:$F$745,'ledger'!$C$2:$C$745,"=uk",'ledger'!$D$2:$D$745,"=company",'ledger'!$E$2:$E$745,"=contractors",'ledger'!$G$2:$G$745,"aug26")</f>
        <v>0</v>
      </c>
      <c r="L80" s="4">
        <f>(K80*(1+'Forecast drivers'!J9))</f>
        <v>0</v>
      </c>
      <c r="M80" s="4">
        <f>(L80*(1+'Forecast drivers'!K9))</f>
        <v>0</v>
      </c>
      <c r="N80" s="4">
        <f>(M80*(1+'Forecast drivers'!L9))</f>
        <v>0</v>
      </c>
      <c r="O80" s="4">
        <f>(N80*(1+'Forecast drivers'!M9))</f>
        <v>0</v>
      </c>
    </row>
    <row r="81">
      <c r="A81" s="0" t="inlineStr">
        <is>
          <t xml:space="preserve">Contractors</t>
        </is>
      </c>
      <c r="B81" s="0" t="inlineStr">
        <is>
          <t xml:space="preserve">United Kingdom</t>
        </is>
      </c>
      <c r="C81" s="0" t="inlineStr">
        <is>
          <t xml:space="preserve">Sales</t>
        </is>
      </c>
      <c r="D81" s="4">
        <f>SUMIFS('ledger'!$F$2:$F$745,'ledger'!$C$2:$C$745,"=uk",'ledger'!$D$2:$D$745,"=sales",'ledger'!$E$2:$E$745,"=contractors",'ledger'!$G$2:$G$745,"jan26")</f>
        <v>0</v>
      </c>
      <c r="E81" s="4">
        <f>SUMIFS('ledger'!$F$2:$F$745,'ledger'!$C$2:$C$745,"=uk",'ledger'!$D$2:$D$745,"=sales",'ledger'!$E$2:$E$745,"=contractors",'ledger'!$G$2:$G$745,"feb26")</f>
        <v>0</v>
      </c>
      <c r="F81" s="4">
        <f>SUMIFS('ledger'!$F$2:$F$745,'ledger'!$C$2:$C$745,"=uk",'ledger'!$D$2:$D$745,"=sales",'ledger'!$E$2:$E$745,"=contractors",'ledger'!$G$2:$G$745,"mar26")</f>
        <v>0</v>
      </c>
      <c r="G81" s="4">
        <f>SUMIFS('ledger'!$F$2:$F$745,'ledger'!$C$2:$C$745,"=uk",'ledger'!$D$2:$D$745,"=sales",'ledger'!$E$2:$E$745,"=contractors",'ledger'!$G$2:$G$745,"apr26")</f>
        <v>0</v>
      </c>
      <c r="H81" s="4">
        <f>SUMIFS('ledger'!$F$2:$F$745,'ledger'!$C$2:$C$745,"=uk",'ledger'!$D$2:$D$745,"=sales",'ledger'!$E$2:$E$745,"=contractors",'ledger'!$G$2:$G$745,"may26")</f>
        <v>0</v>
      </c>
      <c r="I81" s="4">
        <f>SUMIFS('ledger'!$F$2:$F$745,'ledger'!$C$2:$C$745,"=uk",'ledger'!$D$2:$D$745,"=sales",'ledger'!$E$2:$E$745,"=contractors",'ledger'!$G$2:$G$745,"jun26")</f>
        <v>0</v>
      </c>
      <c r="J81" s="4">
        <f>SUMIFS('ledger'!$F$2:$F$745,'ledger'!$C$2:$C$745,"=uk",'ledger'!$D$2:$D$745,"=sales",'ledger'!$E$2:$E$745,"=contractors",'ledger'!$G$2:$G$745,"jul26")</f>
        <v>0</v>
      </c>
      <c r="K81" s="4">
        <f>SUMIFS('ledger'!$F$2:$F$745,'ledger'!$C$2:$C$745,"=uk",'ledger'!$D$2:$D$745,"=sales",'ledger'!$E$2:$E$745,"=contractors",'ledger'!$G$2:$G$745,"aug26")</f>
        <v>0</v>
      </c>
      <c r="L81" s="4">
        <f>(K81*(1+'Forecast drivers'!J9))</f>
        <v>0</v>
      </c>
      <c r="M81" s="4">
        <f>(L81*(1+'Forecast drivers'!K9))</f>
        <v>0</v>
      </c>
      <c r="N81" s="4">
        <f>(M81*(1+'Forecast drivers'!L9))</f>
        <v>0</v>
      </c>
      <c r="O81" s="4">
        <f>(N81*(1+'Forecast drivers'!M9))</f>
        <v>0</v>
      </c>
    </row>
    <row r="82">
      <c r="A82" s="0" t="inlineStr">
        <is>
          <t xml:space="preserve">Contractors</t>
        </is>
      </c>
      <c r="B82" s="0" t="inlineStr">
        <is>
          <t xml:space="preserve">United Kingdom</t>
        </is>
      </c>
      <c r="C82" s="0" t="inlineStr">
        <is>
          <t xml:space="preserve">Marketing</t>
        </is>
      </c>
      <c r="D82" s="4">
        <f>SUMIFS('ledger'!$F$2:$F$745,'ledger'!$C$2:$C$745,"=uk",'ledger'!$D$2:$D$745,"=marketing",'ledger'!$E$2:$E$745,"=contractors",'ledger'!$G$2:$G$745,"jan26")</f>
        <v>0</v>
      </c>
      <c r="E82" s="4">
        <f>SUMIFS('ledger'!$F$2:$F$745,'ledger'!$C$2:$C$745,"=uk",'ledger'!$D$2:$D$745,"=marketing",'ledger'!$E$2:$E$745,"=contractors",'ledger'!$G$2:$G$745,"feb26")</f>
        <v>0</v>
      </c>
      <c r="F82" s="4">
        <f>SUMIFS('ledger'!$F$2:$F$745,'ledger'!$C$2:$C$745,"=uk",'ledger'!$D$2:$D$745,"=marketing",'ledger'!$E$2:$E$745,"=contractors",'ledger'!$G$2:$G$745,"mar26")</f>
        <v>0</v>
      </c>
      <c r="G82" s="4">
        <f>SUMIFS('ledger'!$F$2:$F$745,'ledger'!$C$2:$C$745,"=uk",'ledger'!$D$2:$D$745,"=marketing",'ledger'!$E$2:$E$745,"=contractors",'ledger'!$G$2:$G$745,"apr26")</f>
        <v>0</v>
      </c>
      <c r="H82" s="4">
        <f>SUMIFS('ledger'!$F$2:$F$745,'ledger'!$C$2:$C$745,"=uk",'ledger'!$D$2:$D$745,"=marketing",'ledger'!$E$2:$E$745,"=contractors",'ledger'!$G$2:$G$745,"may26")</f>
        <v>0</v>
      </c>
      <c r="I82" s="4">
        <f>SUMIFS('ledger'!$F$2:$F$745,'ledger'!$C$2:$C$745,"=uk",'ledger'!$D$2:$D$745,"=marketing",'ledger'!$E$2:$E$745,"=contractors",'ledger'!$G$2:$G$745,"jun26")</f>
        <v>0</v>
      </c>
      <c r="J82" s="4">
        <f>SUMIFS('ledger'!$F$2:$F$745,'ledger'!$C$2:$C$745,"=uk",'ledger'!$D$2:$D$745,"=marketing",'ledger'!$E$2:$E$745,"=contractors",'ledger'!$G$2:$G$745,"jul26")</f>
        <v>0</v>
      </c>
      <c r="K82" s="4">
        <f>SUMIFS('ledger'!$F$2:$F$745,'ledger'!$C$2:$C$745,"=uk",'ledger'!$D$2:$D$745,"=marketing",'ledger'!$E$2:$E$745,"=contractors",'ledger'!$G$2:$G$745,"aug26")</f>
        <v>0</v>
      </c>
      <c r="L82" s="4">
        <f>(K82*(1+'Forecast drivers'!J9))</f>
        <v>0</v>
      </c>
      <c r="M82" s="4">
        <f>(L82*(1+'Forecast drivers'!K9))</f>
        <v>0</v>
      </c>
      <c r="N82" s="4">
        <f>(M82*(1+'Forecast drivers'!L9))</f>
        <v>0</v>
      </c>
      <c r="O82" s="4">
        <f>(N82*(1+'Forecast drivers'!M9))</f>
        <v>0</v>
      </c>
    </row>
    <row r="83">
      <c r="A83" s="0" t="inlineStr">
        <is>
          <t xml:space="preserve">Contractors</t>
        </is>
      </c>
      <c r="B83" s="0" t="inlineStr">
        <is>
          <t xml:space="preserve">United Kingdom</t>
        </is>
      </c>
      <c r="C83" s="0" t="inlineStr">
        <is>
          <t xml:space="preserve">Engineering</t>
        </is>
      </c>
      <c r="D83" s="8">
        <f>SUMIFS('ledger'!$F$2:$F$745,'ledger'!$C$2:$C$745,"=uk",'ledger'!$D$2:$D$745,"=engineering",'ledger'!$E$2:$E$745,"=contractors",'ledger'!$G$2:$G$745,"jan26")</f>
        <v>-29117</v>
      </c>
      <c r="E83" s="8">
        <f>SUMIFS('ledger'!$F$2:$F$745,'ledger'!$C$2:$C$745,"=uk",'ledger'!$D$2:$D$745,"=engineering",'ledger'!$E$2:$E$745,"=contractors",'ledger'!$G$2:$G$745,"feb26")</f>
        <v>-25658</v>
      </c>
      <c r="F83" s="8">
        <f>SUMIFS('ledger'!$F$2:$F$745,'ledger'!$C$2:$C$745,"=uk",'ledger'!$D$2:$D$745,"=engineering",'ledger'!$E$2:$E$745,"=contractors",'ledger'!$G$2:$G$745,"mar26")</f>
        <v>-25347</v>
      </c>
      <c r="G83" s="8">
        <f>SUMIFS('ledger'!$F$2:$F$745,'ledger'!$C$2:$C$745,"=uk",'ledger'!$D$2:$D$745,"=engineering",'ledger'!$E$2:$E$745,"=contractors",'ledger'!$G$2:$G$745,"apr26")</f>
        <v>-26596</v>
      </c>
      <c r="H83" s="8">
        <f>SUMIFS('ledger'!$F$2:$F$745,'ledger'!$C$2:$C$745,"=uk",'ledger'!$D$2:$D$745,"=engineering",'ledger'!$E$2:$E$745,"=contractors",'ledger'!$G$2:$G$745,"may26")</f>
        <v>-24465</v>
      </c>
      <c r="I83" s="8">
        <f>SUMIFS('ledger'!$F$2:$F$745,'ledger'!$C$2:$C$745,"=uk",'ledger'!$D$2:$D$745,"=engineering",'ledger'!$E$2:$E$745,"=contractors",'ledger'!$G$2:$G$745,"jun26")</f>
        <v>-26089</v>
      </c>
      <c r="J83" s="8">
        <f>SUMIFS('ledger'!$F$2:$F$745,'ledger'!$C$2:$C$745,"=uk",'ledger'!$D$2:$D$745,"=engineering",'ledger'!$E$2:$E$745,"=contractors",'ledger'!$G$2:$G$745,"jul26")</f>
        <v>-25640</v>
      </c>
      <c r="K83" s="8">
        <f>SUMIFS('ledger'!$F$2:$F$745,'ledger'!$C$2:$C$745,"=uk",'ledger'!$D$2:$D$745,"=engineering",'ledger'!$E$2:$E$745,"=contractors",'ledger'!$G$2:$G$745,"aug26")</f>
        <v>-25288</v>
      </c>
      <c r="L83" s="8">
        <f>(K83*(1+'Forecast drivers'!J9))</f>
        <v>-25439.728</v>
      </c>
      <c r="M83" s="8">
        <f>(L83*(1+'Forecast drivers'!K9))</f>
        <v>-25592.366368</v>
      </c>
      <c r="N83" s="8">
        <f>(M83*(1+'Forecast drivers'!L9))</f>
        <v>-25745.920566208</v>
      </c>
      <c r="O83" s="8">
        <f>(N83*(1+'Forecast drivers'!M9))</f>
        <v>-25900.396089605245</v>
      </c>
    </row>
    <row r="84">
      <c r="A84" s="0" t="inlineStr">
        <is>
          <t xml:space="preserve">Contractors</t>
        </is>
      </c>
      <c r="B84" s="0" t="inlineStr">
        <is>
          <t xml:space="preserve">United Kingdom</t>
        </is>
      </c>
      <c r="C84" s="0" t="inlineStr">
        <is>
          <t xml:space="preserve">Customer success</t>
        </is>
      </c>
      <c r="D84" s="4">
        <f>SUMIFS('ledger'!$F$2:$F$745,'ledger'!$C$2:$C$745,"=uk",'ledger'!$D$2:$D$745,"=customer_success",'ledger'!$E$2:$E$745,"=contractors",'ledger'!$G$2:$G$745,"jan26")</f>
        <v>0</v>
      </c>
      <c r="E84" s="4">
        <f>SUMIFS('ledger'!$F$2:$F$745,'ledger'!$C$2:$C$745,"=uk",'ledger'!$D$2:$D$745,"=customer_success",'ledger'!$E$2:$E$745,"=contractors",'ledger'!$G$2:$G$745,"feb26")</f>
        <v>0</v>
      </c>
      <c r="F84" s="4">
        <f>SUMIFS('ledger'!$F$2:$F$745,'ledger'!$C$2:$C$745,"=uk",'ledger'!$D$2:$D$745,"=customer_success",'ledger'!$E$2:$E$745,"=contractors",'ledger'!$G$2:$G$745,"mar26")</f>
        <v>0</v>
      </c>
      <c r="G84" s="4">
        <f>SUMIFS('ledger'!$F$2:$F$745,'ledger'!$C$2:$C$745,"=uk",'ledger'!$D$2:$D$745,"=customer_success",'ledger'!$E$2:$E$745,"=contractors",'ledger'!$G$2:$G$745,"apr26")</f>
        <v>0</v>
      </c>
      <c r="H84" s="4">
        <f>SUMIFS('ledger'!$F$2:$F$745,'ledger'!$C$2:$C$745,"=uk",'ledger'!$D$2:$D$745,"=customer_success",'ledger'!$E$2:$E$745,"=contractors",'ledger'!$G$2:$G$745,"may26")</f>
        <v>0</v>
      </c>
      <c r="I84" s="4">
        <f>SUMIFS('ledger'!$F$2:$F$745,'ledger'!$C$2:$C$745,"=uk",'ledger'!$D$2:$D$745,"=customer_success",'ledger'!$E$2:$E$745,"=contractors",'ledger'!$G$2:$G$745,"jun26")</f>
        <v>0</v>
      </c>
      <c r="J84" s="4">
        <f>SUMIFS('ledger'!$F$2:$F$745,'ledger'!$C$2:$C$745,"=uk",'ledger'!$D$2:$D$745,"=customer_success",'ledger'!$E$2:$E$745,"=contractors",'ledger'!$G$2:$G$745,"jul26")</f>
        <v>0</v>
      </c>
      <c r="K84" s="4">
        <f>SUMIFS('ledger'!$F$2:$F$745,'ledger'!$C$2:$C$745,"=uk",'ledger'!$D$2:$D$745,"=customer_success",'ledger'!$E$2:$E$745,"=contractors",'ledger'!$G$2:$G$745,"aug26")</f>
        <v>0</v>
      </c>
      <c r="L84" s="4">
        <f>(K84*(1+'Forecast drivers'!J9))</f>
        <v>0</v>
      </c>
      <c r="M84" s="4">
        <f>(L84*(1+'Forecast drivers'!K9))</f>
        <v>0</v>
      </c>
      <c r="N84" s="4">
        <f>(M84*(1+'Forecast drivers'!L9))</f>
        <v>0</v>
      </c>
      <c r="O84" s="4">
        <f>(N84*(1+'Forecast drivers'!M9))</f>
        <v>0</v>
      </c>
    </row>
    <row r="85">
      <c r="A85" s="0" t="inlineStr">
        <is>
          <t xml:space="preserve">Contractors</t>
        </is>
      </c>
      <c r="B85" s="0" t="inlineStr">
        <is>
          <t xml:space="preserve">United Kingdom</t>
        </is>
      </c>
      <c r="C85" s="0" t="inlineStr">
        <is>
          <t xml:space="preserve">G&amp;A</t>
        </is>
      </c>
      <c r="D85" s="4">
        <f>SUMIFS('ledger'!$F$2:$F$745,'ledger'!$C$2:$C$745,"=uk",'ledger'!$D$2:$D$745,"=g_and_a",'ledger'!$E$2:$E$745,"=contractors",'ledger'!$G$2:$G$745,"jan26")</f>
        <v>0</v>
      </c>
      <c r="E85" s="4">
        <f>SUMIFS('ledger'!$F$2:$F$745,'ledger'!$C$2:$C$745,"=uk",'ledger'!$D$2:$D$745,"=g_and_a",'ledger'!$E$2:$E$745,"=contractors",'ledger'!$G$2:$G$745,"feb26")</f>
        <v>0</v>
      </c>
      <c r="F85" s="4">
        <f>SUMIFS('ledger'!$F$2:$F$745,'ledger'!$C$2:$C$745,"=uk",'ledger'!$D$2:$D$745,"=g_and_a",'ledger'!$E$2:$E$745,"=contractors",'ledger'!$G$2:$G$745,"mar26")</f>
        <v>0</v>
      </c>
      <c r="G85" s="4">
        <f>SUMIFS('ledger'!$F$2:$F$745,'ledger'!$C$2:$C$745,"=uk",'ledger'!$D$2:$D$745,"=g_and_a",'ledger'!$E$2:$E$745,"=contractors",'ledger'!$G$2:$G$745,"apr26")</f>
        <v>0</v>
      </c>
      <c r="H85" s="4">
        <f>SUMIFS('ledger'!$F$2:$F$745,'ledger'!$C$2:$C$745,"=uk",'ledger'!$D$2:$D$745,"=g_and_a",'ledger'!$E$2:$E$745,"=contractors",'ledger'!$G$2:$G$745,"may26")</f>
        <v>0</v>
      </c>
      <c r="I85" s="4">
        <f>SUMIFS('ledger'!$F$2:$F$745,'ledger'!$C$2:$C$745,"=uk",'ledger'!$D$2:$D$745,"=g_and_a",'ledger'!$E$2:$E$745,"=contractors",'ledger'!$G$2:$G$745,"jun26")</f>
        <v>0</v>
      </c>
      <c r="J85" s="4">
        <f>SUMIFS('ledger'!$F$2:$F$745,'ledger'!$C$2:$C$745,"=uk",'ledger'!$D$2:$D$745,"=g_and_a",'ledger'!$E$2:$E$745,"=contractors",'ledger'!$G$2:$G$745,"jul26")</f>
        <v>0</v>
      </c>
      <c r="K85" s="4">
        <f>SUMIFS('ledger'!$F$2:$F$745,'ledger'!$C$2:$C$745,"=uk",'ledger'!$D$2:$D$745,"=g_and_a",'ledger'!$E$2:$E$745,"=contractors",'ledger'!$G$2:$G$745,"aug26")</f>
        <v>0</v>
      </c>
      <c r="L85" s="4">
        <f>(K85*(1+'Forecast drivers'!J9))</f>
        <v>0</v>
      </c>
      <c r="M85" s="4">
        <f>(L85*(1+'Forecast drivers'!K9))</f>
        <v>0</v>
      </c>
      <c r="N85" s="4">
        <f>(M85*(1+'Forecast drivers'!L9))</f>
        <v>0</v>
      </c>
      <c r="O85" s="4">
        <f>(N85*(1+'Forecast drivers'!M9))</f>
        <v>0</v>
      </c>
    </row>
    <row r="86">
      <c r="A86" s="0" t="inlineStr">
        <is>
          <t xml:space="preserve">Cloud and infrastructure</t>
        </is>
      </c>
      <c r="B86" s="0" t="inlineStr">
        <is>
          <t xml:space="preserve">United States</t>
        </is>
      </c>
      <c r="C86" s="0" t="inlineStr">
        <is>
          <t xml:space="preserve">Company (revenue and cost of revenue)</t>
        </is>
      </c>
      <c r="D86" s="4">
        <f>SUMIFS('ledger'!$F$2:$F$745,'ledger'!$C$2:$C$745,"=us",'ledger'!$D$2:$D$745,"=company",'ledger'!$E$2:$E$745,"=cloud",'ledger'!$G$2:$G$745,"jan26")</f>
        <v>0</v>
      </c>
      <c r="E86" s="4">
        <f>SUMIFS('ledger'!$F$2:$F$745,'ledger'!$C$2:$C$745,"=us",'ledger'!$D$2:$D$745,"=company",'ledger'!$E$2:$E$745,"=cloud",'ledger'!$G$2:$G$745,"feb26")</f>
        <v>0</v>
      </c>
      <c r="F86" s="4">
        <f>SUMIFS('ledger'!$F$2:$F$745,'ledger'!$C$2:$C$745,"=us",'ledger'!$D$2:$D$745,"=company",'ledger'!$E$2:$E$745,"=cloud",'ledger'!$G$2:$G$745,"mar26")</f>
        <v>0</v>
      </c>
      <c r="G86" s="4">
        <f>SUMIFS('ledger'!$F$2:$F$745,'ledger'!$C$2:$C$745,"=us",'ledger'!$D$2:$D$745,"=company",'ledger'!$E$2:$E$745,"=cloud",'ledger'!$G$2:$G$745,"apr26")</f>
        <v>0</v>
      </c>
      <c r="H86" s="4">
        <f>SUMIFS('ledger'!$F$2:$F$745,'ledger'!$C$2:$C$745,"=us",'ledger'!$D$2:$D$745,"=company",'ledger'!$E$2:$E$745,"=cloud",'ledger'!$G$2:$G$745,"may26")</f>
        <v>0</v>
      </c>
      <c r="I86" s="4">
        <f>SUMIFS('ledger'!$F$2:$F$745,'ledger'!$C$2:$C$745,"=us",'ledger'!$D$2:$D$745,"=company",'ledger'!$E$2:$E$745,"=cloud",'ledger'!$G$2:$G$745,"jun26")</f>
        <v>0</v>
      </c>
      <c r="J86" s="4">
        <f>SUMIFS('ledger'!$F$2:$F$745,'ledger'!$C$2:$C$745,"=us",'ledger'!$D$2:$D$745,"=company",'ledger'!$E$2:$E$745,"=cloud",'ledger'!$G$2:$G$745,"jul26")</f>
        <v>0</v>
      </c>
      <c r="K86" s="4">
        <f>SUMIFS('ledger'!$F$2:$F$745,'ledger'!$C$2:$C$745,"=us",'ledger'!$D$2:$D$745,"=company",'ledger'!$E$2:$E$745,"=cloud",'ledger'!$G$2:$G$745,"aug26")</f>
        <v>0</v>
      </c>
      <c r="L86" s="4">
        <f>(K86*(1+'Forecast drivers'!J9))</f>
        <v>0</v>
      </c>
      <c r="M86" s="4">
        <f>(L86*(1+'Forecast drivers'!K9))</f>
        <v>0</v>
      </c>
      <c r="N86" s="4">
        <f>(M86*(1+'Forecast drivers'!L9))</f>
        <v>0</v>
      </c>
      <c r="O86" s="4">
        <f>(N86*(1+'Forecast drivers'!M9))</f>
        <v>0</v>
      </c>
    </row>
    <row r="87">
      <c r="A87" s="0" t="inlineStr">
        <is>
          <t xml:space="preserve">Cloud and infrastructure</t>
        </is>
      </c>
      <c r="B87" s="0" t="inlineStr">
        <is>
          <t xml:space="preserve">United States</t>
        </is>
      </c>
      <c r="C87" s="0" t="inlineStr">
        <is>
          <t xml:space="preserve">Sales</t>
        </is>
      </c>
      <c r="D87" s="4">
        <f>SUMIFS('ledger'!$F$2:$F$745,'ledger'!$C$2:$C$745,"=us",'ledger'!$D$2:$D$745,"=sales",'ledger'!$E$2:$E$745,"=cloud",'ledger'!$G$2:$G$745,"jan26")</f>
        <v>0</v>
      </c>
      <c r="E87" s="4">
        <f>SUMIFS('ledger'!$F$2:$F$745,'ledger'!$C$2:$C$745,"=us",'ledger'!$D$2:$D$745,"=sales",'ledger'!$E$2:$E$745,"=cloud",'ledger'!$G$2:$G$745,"feb26")</f>
        <v>0</v>
      </c>
      <c r="F87" s="4">
        <f>SUMIFS('ledger'!$F$2:$F$745,'ledger'!$C$2:$C$745,"=us",'ledger'!$D$2:$D$745,"=sales",'ledger'!$E$2:$E$745,"=cloud",'ledger'!$G$2:$G$745,"mar26")</f>
        <v>0</v>
      </c>
      <c r="G87" s="4">
        <f>SUMIFS('ledger'!$F$2:$F$745,'ledger'!$C$2:$C$745,"=us",'ledger'!$D$2:$D$745,"=sales",'ledger'!$E$2:$E$745,"=cloud",'ledger'!$G$2:$G$745,"apr26")</f>
        <v>0</v>
      </c>
      <c r="H87" s="4">
        <f>SUMIFS('ledger'!$F$2:$F$745,'ledger'!$C$2:$C$745,"=us",'ledger'!$D$2:$D$745,"=sales",'ledger'!$E$2:$E$745,"=cloud",'ledger'!$G$2:$G$745,"may26")</f>
        <v>0</v>
      </c>
      <c r="I87" s="4">
        <f>SUMIFS('ledger'!$F$2:$F$745,'ledger'!$C$2:$C$745,"=us",'ledger'!$D$2:$D$745,"=sales",'ledger'!$E$2:$E$745,"=cloud",'ledger'!$G$2:$G$745,"jun26")</f>
        <v>0</v>
      </c>
      <c r="J87" s="4">
        <f>SUMIFS('ledger'!$F$2:$F$745,'ledger'!$C$2:$C$745,"=us",'ledger'!$D$2:$D$745,"=sales",'ledger'!$E$2:$E$745,"=cloud",'ledger'!$G$2:$G$745,"jul26")</f>
        <v>0</v>
      </c>
      <c r="K87" s="4">
        <f>SUMIFS('ledger'!$F$2:$F$745,'ledger'!$C$2:$C$745,"=us",'ledger'!$D$2:$D$745,"=sales",'ledger'!$E$2:$E$745,"=cloud",'ledger'!$G$2:$G$745,"aug26")</f>
        <v>0</v>
      </c>
      <c r="L87" s="4">
        <f>(K87*(1+'Forecast drivers'!J9))</f>
        <v>0</v>
      </c>
      <c r="M87" s="4">
        <f>(L87*(1+'Forecast drivers'!K9))</f>
        <v>0</v>
      </c>
      <c r="N87" s="4">
        <f>(M87*(1+'Forecast drivers'!L9))</f>
        <v>0</v>
      </c>
      <c r="O87" s="4">
        <f>(N87*(1+'Forecast drivers'!M9))</f>
        <v>0</v>
      </c>
    </row>
    <row r="88">
      <c r="A88" s="0" t="inlineStr">
        <is>
          <t xml:space="preserve">Cloud and infrastructure</t>
        </is>
      </c>
      <c r="B88" s="0" t="inlineStr">
        <is>
          <t xml:space="preserve">United States</t>
        </is>
      </c>
      <c r="C88" s="0" t="inlineStr">
        <is>
          <t xml:space="preserve">Marketing</t>
        </is>
      </c>
      <c r="D88" s="4">
        <f>SUMIFS('ledger'!$F$2:$F$745,'ledger'!$C$2:$C$745,"=us",'ledger'!$D$2:$D$745,"=marketing",'ledger'!$E$2:$E$745,"=cloud",'ledger'!$G$2:$G$745,"jan26")</f>
        <v>0</v>
      </c>
      <c r="E88" s="4">
        <f>SUMIFS('ledger'!$F$2:$F$745,'ledger'!$C$2:$C$745,"=us",'ledger'!$D$2:$D$745,"=marketing",'ledger'!$E$2:$E$745,"=cloud",'ledger'!$G$2:$G$745,"feb26")</f>
        <v>0</v>
      </c>
      <c r="F88" s="4">
        <f>SUMIFS('ledger'!$F$2:$F$745,'ledger'!$C$2:$C$745,"=us",'ledger'!$D$2:$D$745,"=marketing",'ledger'!$E$2:$E$745,"=cloud",'ledger'!$G$2:$G$745,"mar26")</f>
        <v>0</v>
      </c>
      <c r="G88" s="4">
        <f>SUMIFS('ledger'!$F$2:$F$745,'ledger'!$C$2:$C$745,"=us",'ledger'!$D$2:$D$745,"=marketing",'ledger'!$E$2:$E$745,"=cloud",'ledger'!$G$2:$G$745,"apr26")</f>
        <v>0</v>
      </c>
      <c r="H88" s="4">
        <f>SUMIFS('ledger'!$F$2:$F$745,'ledger'!$C$2:$C$745,"=us",'ledger'!$D$2:$D$745,"=marketing",'ledger'!$E$2:$E$745,"=cloud",'ledger'!$G$2:$G$745,"may26")</f>
        <v>0</v>
      </c>
      <c r="I88" s="4">
        <f>SUMIFS('ledger'!$F$2:$F$745,'ledger'!$C$2:$C$745,"=us",'ledger'!$D$2:$D$745,"=marketing",'ledger'!$E$2:$E$745,"=cloud",'ledger'!$G$2:$G$745,"jun26")</f>
        <v>0</v>
      </c>
      <c r="J88" s="4">
        <f>SUMIFS('ledger'!$F$2:$F$745,'ledger'!$C$2:$C$745,"=us",'ledger'!$D$2:$D$745,"=marketing",'ledger'!$E$2:$E$745,"=cloud",'ledger'!$G$2:$G$745,"jul26")</f>
        <v>0</v>
      </c>
      <c r="K88" s="4">
        <f>SUMIFS('ledger'!$F$2:$F$745,'ledger'!$C$2:$C$745,"=us",'ledger'!$D$2:$D$745,"=marketing",'ledger'!$E$2:$E$745,"=cloud",'ledger'!$G$2:$G$745,"aug26")</f>
        <v>0</v>
      </c>
      <c r="L88" s="4">
        <f>(K88*(1+'Forecast drivers'!J9))</f>
        <v>0</v>
      </c>
      <c r="M88" s="4">
        <f>(L88*(1+'Forecast drivers'!K9))</f>
        <v>0</v>
      </c>
      <c r="N88" s="4">
        <f>(M88*(1+'Forecast drivers'!L9))</f>
        <v>0</v>
      </c>
      <c r="O88" s="4">
        <f>(N88*(1+'Forecast drivers'!M9))</f>
        <v>0</v>
      </c>
    </row>
    <row r="89">
      <c r="A89" s="0" t="inlineStr">
        <is>
          <t xml:space="preserve">Cloud and infrastructure</t>
        </is>
      </c>
      <c r="B89" s="0" t="inlineStr">
        <is>
          <t xml:space="preserve">United States</t>
        </is>
      </c>
      <c r="C89" s="0" t="inlineStr">
        <is>
          <t xml:space="preserve">Engineering</t>
        </is>
      </c>
      <c r="D89" s="8">
        <f>SUMIFS('ledger'!$F$2:$F$745,'ledger'!$C$2:$C$745,"=us",'ledger'!$D$2:$D$745,"=engineering",'ledger'!$E$2:$E$745,"=cloud",'ledger'!$G$2:$G$745,"jan26")</f>
        <v>-336761</v>
      </c>
      <c r="E89" s="8">
        <f>SUMIFS('ledger'!$F$2:$F$745,'ledger'!$C$2:$C$745,"=us",'ledger'!$D$2:$D$745,"=engineering",'ledger'!$E$2:$E$745,"=cloud",'ledger'!$G$2:$G$745,"feb26")</f>
        <v>-381083</v>
      </c>
      <c r="F89" s="8">
        <f>SUMIFS('ledger'!$F$2:$F$745,'ledger'!$C$2:$C$745,"=us",'ledger'!$D$2:$D$745,"=engineering",'ledger'!$E$2:$E$745,"=cloud",'ledger'!$G$2:$G$745,"mar26")</f>
        <v>-389596</v>
      </c>
      <c r="G89" s="8">
        <f>SUMIFS('ledger'!$F$2:$F$745,'ledger'!$C$2:$C$745,"=us",'ledger'!$D$2:$D$745,"=engineering",'ledger'!$E$2:$E$745,"=cloud",'ledger'!$G$2:$G$745,"apr26")</f>
        <v>-418940</v>
      </c>
      <c r="H89" s="8">
        <f>SUMIFS('ledger'!$F$2:$F$745,'ledger'!$C$2:$C$745,"=us",'ledger'!$D$2:$D$745,"=engineering",'ledger'!$E$2:$E$745,"=cloud",'ledger'!$G$2:$G$745,"may26")</f>
        <v>-391725</v>
      </c>
      <c r="I89" s="8">
        <f>SUMIFS('ledger'!$F$2:$F$745,'ledger'!$C$2:$C$745,"=us",'ledger'!$D$2:$D$745,"=engineering",'ledger'!$E$2:$E$745,"=cloud",'ledger'!$G$2:$G$745,"jun26")</f>
        <v>-456521</v>
      </c>
      <c r="J89" s="8">
        <f>SUMIFS('ledger'!$F$2:$F$745,'ledger'!$C$2:$C$745,"=us",'ledger'!$D$2:$D$745,"=engineering",'ledger'!$E$2:$E$745,"=cloud",'ledger'!$G$2:$G$745,"jul26")</f>
        <v>-403736</v>
      </c>
      <c r="K89" s="8">
        <f>SUMIFS('ledger'!$F$2:$F$745,'ledger'!$C$2:$C$745,"=us",'ledger'!$D$2:$D$745,"=engineering",'ledger'!$E$2:$E$745,"=cloud",'ledger'!$G$2:$G$745,"aug26")</f>
        <v>-417258</v>
      </c>
      <c r="L89" s="8">
        <f>(-(L2)*'Forecast drivers'!J8)</f>
        <v>-412103.259567</v>
      </c>
      <c r="M89" s="8">
        <f>(-(M2)*'Forecast drivers'!K8)</f>
        <v>-419933.2214987729</v>
      </c>
      <c r="N89" s="8">
        <f>(-(N2)*'Forecast drivers'!L8)</f>
        <v>-427911.95270724955</v>
      </c>
      <c r="O89" s="8">
        <f>(-(O2)*'Forecast drivers'!M8)</f>
        <v>-436042.2798086873</v>
      </c>
    </row>
    <row r="90">
      <c r="A90" s="0" t="inlineStr">
        <is>
          <t xml:space="preserve">Cloud and infrastructure</t>
        </is>
      </c>
      <c r="B90" s="0" t="inlineStr">
        <is>
          <t xml:space="preserve">United States</t>
        </is>
      </c>
      <c r="C90" s="0" t="inlineStr">
        <is>
          <t xml:space="preserve">Customer success</t>
        </is>
      </c>
      <c r="D90" s="4">
        <f>SUMIFS('ledger'!$F$2:$F$745,'ledger'!$C$2:$C$745,"=us",'ledger'!$D$2:$D$745,"=customer_success",'ledger'!$E$2:$E$745,"=cloud",'ledger'!$G$2:$G$745,"jan26")</f>
        <v>0</v>
      </c>
      <c r="E90" s="4">
        <f>SUMIFS('ledger'!$F$2:$F$745,'ledger'!$C$2:$C$745,"=us",'ledger'!$D$2:$D$745,"=customer_success",'ledger'!$E$2:$E$745,"=cloud",'ledger'!$G$2:$G$745,"feb26")</f>
        <v>0</v>
      </c>
      <c r="F90" s="4">
        <f>SUMIFS('ledger'!$F$2:$F$745,'ledger'!$C$2:$C$745,"=us",'ledger'!$D$2:$D$745,"=customer_success",'ledger'!$E$2:$E$745,"=cloud",'ledger'!$G$2:$G$745,"mar26")</f>
        <v>0</v>
      </c>
      <c r="G90" s="4">
        <f>SUMIFS('ledger'!$F$2:$F$745,'ledger'!$C$2:$C$745,"=us",'ledger'!$D$2:$D$745,"=customer_success",'ledger'!$E$2:$E$745,"=cloud",'ledger'!$G$2:$G$745,"apr26")</f>
        <v>0</v>
      </c>
      <c r="H90" s="4">
        <f>SUMIFS('ledger'!$F$2:$F$745,'ledger'!$C$2:$C$745,"=us",'ledger'!$D$2:$D$745,"=customer_success",'ledger'!$E$2:$E$745,"=cloud",'ledger'!$G$2:$G$745,"may26")</f>
        <v>0</v>
      </c>
      <c r="I90" s="4">
        <f>SUMIFS('ledger'!$F$2:$F$745,'ledger'!$C$2:$C$745,"=us",'ledger'!$D$2:$D$745,"=customer_success",'ledger'!$E$2:$E$745,"=cloud",'ledger'!$G$2:$G$745,"jun26")</f>
        <v>0</v>
      </c>
      <c r="J90" s="4">
        <f>SUMIFS('ledger'!$F$2:$F$745,'ledger'!$C$2:$C$745,"=us",'ledger'!$D$2:$D$745,"=customer_success",'ledger'!$E$2:$E$745,"=cloud",'ledger'!$G$2:$G$745,"jul26")</f>
        <v>0</v>
      </c>
      <c r="K90" s="4">
        <f>SUMIFS('ledger'!$F$2:$F$745,'ledger'!$C$2:$C$745,"=us",'ledger'!$D$2:$D$745,"=customer_success",'ledger'!$E$2:$E$745,"=cloud",'ledger'!$G$2:$G$745,"aug26")</f>
        <v>0</v>
      </c>
      <c r="L90" s="4">
        <f>(K90*(1+'Forecast drivers'!J9))</f>
        <v>0</v>
      </c>
      <c r="M90" s="4">
        <f>(L90*(1+'Forecast drivers'!K9))</f>
        <v>0</v>
      </c>
      <c r="N90" s="4">
        <f>(M90*(1+'Forecast drivers'!L9))</f>
        <v>0</v>
      </c>
      <c r="O90" s="4">
        <f>(N90*(1+'Forecast drivers'!M9))</f>
        <v>0</v>
      </c>
    </row>
    <row r="91">
      <c r="A91" s="0" t="inlineStr">
        <is>
          <t xml:space="preserve">Cloud and infrastructure</t>
        </is>
      </c>
      <c r="B91" s="0" t="inlineStr">
        <is>
          <t xml:space="preserve">United States</t>
        </is>
      </c>
      <c r="C91" s="0" t="inlineStr">
        <is>
          <t xml:space="preserve">G&amp;A</t>
        </is>
      </c>
      <c r="D91" s="4">
        <f>SUMIFS('ledger'!$F$2:$F$745,'ledger'!$C$2:$C$745,"=us",'ledger'!$D$2:$D$745,"=g_and_a",'ledger'!$E$2:$E$745,"=cloud",'ledger'!$G$2:$G$745,"jan26")</f>
        <v>0</v>
      </c>
      <c r="E91" s="4">
        <f>SUMIFS('ledger'!$F$2:$F$745,'ledger'!$C$2:$C$745,"=us",'ledger'!$D$2:$D$745,"=g_and_a",'ledger'!$E$2:$E$745,"=cloud",'ledger'!$G$2:$G$745,"feb26")</f>
        <v>0</v>
      </c>
      <c r="F91" s="4">
        <f>SUMIFS('ledger'!$F$2:$F$745,'ledger'!$C$2:$C$745,"=us",'ledger'!$D$2:$D$745,"=g_and_a",'ledger'!$E$2:$E$745,"=cloud",'ledger'!$G$2:$G$745,"mar26")</f>
        <v>0</v>
      </c>
      <c r="G91" s="4">
        <f>SUMIFS('ledger'!$F$2:$F$745,'ledger'!$C$2:$C$745,"=us",'ledger'!$D$2:$D$745,"=g_and_a",'ledger'!$E$2:$E$745,"=cloud",'ledger'!$G$2:$G$745,"apr26")</f>
        <v>0</v>
      </c>
      <c r="H91" s="4">
        <f>SUMIFS('ledger'!$F$2:$F$745,'ledger'!$C$2:$C$745,"=us",'ledger'!$D$2:$D$745,"=g_and_a",'ledger'!$E$2:$E$745,"=cloud",'ledger'!$G$2:$G$745,"may26")</f>
        <v>0</v>
      </c>
      <c r="I91" s="4">
        <f>SUMIFS('ledger'!$F$2:$F$745,'ledger'!$C$2:$C$745,"=us",'ledger'!$D$2:$D$745,"=g_and_a",'ledger'!$E$2:$E$745,"=cloud",'ledger'!$G$2:$G$745,"jun26")</f>
        <v>0</v>
      </c>
      <c r="J91" s="4">
        <f>SUMIFS('ledger'!$F$2:$F$745,'ledger'!$C$2:$C$745,"=us",'ledger'!$D$2:$D$745,"=g_and_a",'ledger'!$E$2:$E$745,"=cloud",'ledger'!$G$2:$G$745,"jul26")</f>
        <v>0</v>
      </c>
      <c r="K91" s="4">
        <f>SUMIFS('ledger'!$F$2:$F$745,'ledger'!$C$2:$C$745,"=us",'ledger'!$D$2:$D$745,"=g_and_a",'ledger'!$E$2:$E$745,"=cloud",'ledger'!$G$2:$G$745,"aug26")</f>
        <v>0</v>
      </c>
      <c r="L91" s="4">
        <f>(K91*(1+'Forecast drivers'!J9))</f>
        <v>0</v>
      </c>
      <c r="M91" s="4">
        <f>(L91*(1+'Forecast drivers'!K9))</f>
        <v>0</v>
      </c>
      <c r="N91" s="4">
        <f>(M91*(1+'Forecast drivers'!L9))</f>
        <v>0</v>
      </c>
      <c r="O91" s="4">
        <f>(N91*(1+'Forecast drivers'!M9))</f>
        <v>0</v>
      </c>
    </row>
    <row r="92">
      <c r="A92" s="0" t="inlineStr">
        <is>
          <t xml:space="preserve">Cloud and infrastructure</t>
        </is>
      </c>
      <c r="B92" s="0" t="inlineStr">
        <is>
          <t xml:space="preserve">United Kingdom</t>
        </is>
      </c>
      <c r="C92" s="0" t="inlineStr">
        <is>
          <t xml:space="preserve">Company (revenue and cost of revenue)</t>
        </is>
      </c>
      <c r="D92" s="4">
        <f>SUMIFS('ledger'!$F$2:$F$745,'ledger'!$C$2:$C$745,"=uk",'ledger'!$D$2:$D$745,"=company",'ledger'!$E$2:$E$745,"=cloud",'ledger'!$G$2:$G$745,"jan26")</f>
        <v>0</v>
      </c>
      <c r="E92" s="4">
        <f>SUMIFS('ledger'!$F$2:$F$745,'ledger'!$C$2:$C$745,"=uk",'ledger'!$D$2:$D$745,"=company",'ledger'!$E$2:$E$745,"=cloud",'ledger'!$G$2:$G$745,"feb26")</f>
        <v>0</v>
      </c>
      <c r="F92" s="4">
        <f>SUMIFS('ledger'!$F$2:$F$745,'ledger'!$C$2:$C$745,"=uk",'ledger'!$D$2:$D$745,"=company",'ledger'!$E$2:$E$745,"=cloud",'ledger'!$G$2:$G$745,"mar26")</f>
        <v>0</v>
      </c>
      <c r="G92" s="4">
        <f>SUMIFS('ledger'!$F$2:$F$745,'ledger'!$C$2:$C$745,"=uk",'ledger'!$D$2:$D$745,"=company",'ledger'!$E$2:$E$745,"=cloud",'ledger'!$G$2:$G$745,"apr26")</f>
        <v>0</v>
      </c>
      <c r="H92" s="4">
        <f>SUMIFS('ledger'!$F$2:$F$745,'ledger'!$C$2:$C$745,"=uk",'ledger'!$D$2:$D$745,"=company",'ledger'!$E$2:$E$745,"=cloud",'ledger'!$G$2:$G$745,"may26")</f>
        <v>0</v>
      </c>
      <c r="I92" s="4">
        <f>SUMIFS('ledger'!$F$2:$F$745,'ledger'!$C$2:$C$745,"=uk",'ledger'!$D$2:$D$745,"=company",'ledger'!$E$2:$E$745,"=cloud",'ledger'!$G$2:$G$745,"jun26")</f>
        <v>0</v>
      </c>
      <c r="J92" s="4">
        <f>SUMIFS('ledger'!$F$2:$F$745,'ledger'!$C$2:$C$745,"=uk",'ledger'!$D$2:$D$745,"=company",'ledger'!$E$2:$E$745,"=cloud",'ledger'!$G$2:$G$745,"jul26")</f>
        <v>0</v>
      </c>
      <c r="K92" s="4">
        <f>SUMIFS('ledger'!$F$2:$F$745,'ledger'!$C$2:$C$745,"=uk",'ledger'!$D$2:$D$745,"=company",'ledger'!$E$2:$E$745,"=cloud",'ledger'!$G$2:$G$745,"aug26")</f>
        <v>0</v>
      </c>
      <c r="L92" s="4">
        <f>(K92*(1+'Forecast drivers'!J9))</f>
        <v>0</v>
      </c>
      <c r="M92" s="4">
        <f>(L92*(1+'Forecast drivers'!K9))</f>
        <v>0</v>
      </c>
      <c r="N92" s="4">
        <f>(M92*(1+'Forecast drivers'!L9))</f>
        <v>0</v>
      </c>
      <c r="O92" s="4">
        <f>(N92*(1+'Forecast drivers'!M9))</f>
        <v>0</v>
      </c>
    </row>
    <row r="93">
      <c r="A93" s="0" t="inlineStr">
        <is>
          <t xml:space="preserve">Cloud and infrastructure</t>
        </is>
      </c>
      <c r="B93" s="0" t="inlineStr">
        <is>
          <t xml:space="preserve">United Kingdom</t>
        </is>
      </c>
      <c r="C93" s="0" t="inlineStr">
        <is>
          <t xml:space="preserve">Sales</t>
        </is>
      </c>
      <c r="D93" s="4">
        <f>SUMIFS('ledger'!$F$2:$F$745,'ledger'!$C$2:$C$745,"=uk",'ledger'!$D$2:$D$745,"=sales",'ledger'!$E$2:$E$745,"=cloud",'ledger'!$G$2:$G$745,"jan26")</f>
        <v>0</v>
      </c>
      <c r="E93" s="4">
        <f>SUMIFS('ledger'!$F$2:$F$745,'ledger'!$C$2:$C$745,"=uk",'ledger'!$D$2:$D$745,"=sales",'ledger'!$E$2:$E$745,"=cloud",'ledger'!$G$2:$G$745,"feb26")</f>
        <v>0</v>
      </c>
      <c r="F93" s="4">
        <f>SUMIFS('ledger'!$F$2:$F$745,'ledger'!$C$2:$C$745,"=uk",'ledger'!$D$2:$D$745,"=sales",'ledger'!$E$2:$E$745,"=cloud",'ledger'!$G$2:$G$745,"mar26")</f>
        <v>0</v>
      </c>
      <c r="G93" s="4">
        <f>SUMIFS('ledger'!$F$2:$F$745,'ledger'!$C$2:$C$745,"=uk",'ledger'!$D$2:$D$745,"=sales",'ledger'!$E$2:$E$745,"=cloud",'ledger'!$G$2:$G$745,"apr26")</f>
        <v>0</v>
      </c>
      <c r="H93" s="4">
        <f>SUMIFS('ledger'!$F$2:$F$745,'ledger'!$C$2:$C$745,"=uk",'ledger'!$D$2:$D$745,"=sales",'ledger'!$E$2:$E$745,"=cloud",'ledger'!$G$2:$G$745,"may26")</f>
        <v>0</v>
      </c>
      <c r="I93" s="4">
        <f>SUMIFS('ledger'!$F$2:$F$745,'ledger'!$C$2:$C$745,"=uk",'ledger'!$D$2:$D$745,"=sales",'ledger'!$E$2:$E$745,"=cloud",'ledger'!$G$2:$G$745,"jun26")</f>
        <v>0</v>
      </c>
      <c r="J93" s="4">
        <f>SUMIFS('ledger'!$F$2:$F$745,'ledger'!$C$2:$C$745,"=uk",'ledger'!$D$2:$D$745,"=sales",'ledger'!$E$2:$E$745,"=cloud",'ledger'!$G$2:$G$745,"jul26")</f>
        <v>0</v>
      </c>
      <c r="K93" s="4">
        <f>SUMIFS('ledger'!$F$2:$F$745,'ledger'!$C$2:$C$745,"=uk",'ledger'!$D$2:$D$745,"=sales",'ledger'!$E$2:$E$745,"=cloud",'ledger'!$G$2:$G$745,"aug26")</f>
        <v>0</v>
      </c>
      <c r="L93" s="4">
        <f>(K93*(1+'Forecast drivers'!J9))</f>
        <v>0</v>
      </c>
      <c r="M93" s="4">
        <f>(L93*(1+'Forecast drivers'!K9))</f>
        <v>0</v>
      </c>
      <c r="N93" s="4">
        <f>(M93*(1+'Forecast drivers'!L9))</f>
        <v>0</v>
      </c>
      <c r="O93" s="4">
        <f>(N93*(1+'Forecast drivers'!M9))</f>
        <v>0</v>
      </c>
    </row>
    <row r="94">
      <c r="A94" s="0" t="inlineStr">
        <is>
          <t xml:space="preserve">Cloud and infrastructure</t>
        </is>
      </c>
      <c r="B94" s="0" t="inlineStr">
        <is>
          <t xml:space="preserve">United Kingdom</t>
        </is>
      </c>
      <c r="C94" s="0" t="inlineStr">
        <is>
          <t xml:space="preserve">Marketing</t>
        </is>
      </c>
      <c r="D94" s="4">
        <f>SUMIFS('ledger'!$F$2:$F$745,'ledger'!$C$2:$C$745,"=uk",'ledger'!$D$2:$D$745,"=marketing",'ledger'!$E$2:$E$745,"=cloud",'ledger'!$G$2:$G$745,"jan26")</f>
        <v>0</v>
      </c>
      <c r="E94" s="4">
        <f>SUMIFS('ledger'!$F$2:$F$745,'ledger'!$C$2:$C$745,"=uk",'ledger'!$D$2:$D$745,"=marketing",'ledger'!$E$2:$E$745,"=cloud",'ledger'!$G$2:$G$745,"feb26")</f>
        <v>0</v>
      </c>
      <c r="F94" s="4">
        <f>SUMIFS('ledger'!$F$2:$F$745,'ledger'!$C$2:$C$745,"=uk",'ledger'!$D$2:$D$745,"=marketing",'ledger'!$E$2:$E$745,"=cloud",'ledger'!$G$2:$G$745,"mar26")</f>
        <v>0</v>
      </c>
      <c r="G94" s="4">
        <f>SUMIFS('ledger'!$F$2:$F$745,'ledger'!$C$2:$C$745,"=uk",'ledger'!$D$2:$D$745,"=marketing",'ledger'!$E$2:$E$745,"=cloud",'ledger'!$G$2:$G$745,"apr26")</f>
        <v>0</v>
      </c>
      <c r="H94" s="4">
        <f>SUMIFS('ledger'!$F$2:$F$745,'ledger'!$C$2:$C$745,"=uk",'ledger'!$D$2:$D$745,"=marketing",'ledger'!$E$2:$E$745,"=cloud",'ledger'!$G$2:$G$745,"may26")</f>
        <v>0</v>
      </c>
      <c r="I94" s="4">
        <f>SUMIFS('ledger'!$F$2:$F$745,'ledger'!$C$2:$C$745,"=uk",'ledger'!$D$2:$D$745,"=marketing",'ledger'!$E$2:$E$745,"=cloud",'ledger'!$G$2:$G$745,"jun26")</f>
        <v>0</v>
      </c>
      <c r="J94" s="4">
        <f>SUMIFS('ledger'!$F$2:$F$745,'ledger'!$C$2:$C$745,"=uk",'ledger'!$D$2:$D$745,"=marketing",'ledger'!$E$2:$E$745,"=cloud",'ledger'!$G$2:$G$745,"jul26")</f>
        <v>0</v>
      </c>
      <c r="K94" s="4">
        <f>SUMIFS('ledger'!$F$2:$F$745,'ledger'!$C$2:$C$745,"=uk",'ledger'!$D$2:$D$745,"=marketing",'ledger'!$E$2:$E$745,"=cloud",'ledger'!$G$2:$G$745,"aug26")</f>
        <v>0</v>
      </c>
      <c r="L94" s="4">
        <f>(K94*(1+'Forecast drivers'!J9))</f>
        <v>0</v>
      </c>
      <c r="M94" s="4">
        <f>(L94*(1+'Forecast drivers'!K9))</f>
        <v>0</v>
      </c>
      <c r="N94" s="4">
        <f>(M94*(1+'Forecast drivers'!L9))</f>
        <v>0</v>
      </c>
      <c r="O94" s="4">
        <f>(N94*(1+'Forecast drivers'!M9))</f>
        <v>0</v>
      </c>
    </row>
    <row r="95">
      <c r="A95" s="0" t="inlineStr">
        <is>
          <t xml:space="preserve">Cloud and infrastructure</t>
        </is>
      </c>
      <c r="B95" s="0" t="inlineStr">
        <is>
          <t xml:space="preserve">United Kingdom</t>
        </is>
      </c>
      <c r="C95" s="0" t="inlineStr">
        <is>
          <t xml:space="preserve">Engineering</t>
        </is>
      </c>
      <c r="D95" s="8">
        <f>SUMIFS('ledger'!$F$2:$F$745,'ledger'!$C$2:$C$745,"=uk",'ledger'!$D$2:$D$745,"=engineering",'ledger'!$E$2:$E$745,"=cloud",'ledger'!$G$2:$G$745,"jan26")</f>
        <v>-146037</v>
      </c>
      <c r="E95" s="8">
        <f>SUMIFS('ledger'!$F$2:$F$745,'ledger'!$C$2:$C$745,"=uk",'ledger'!$D$2:$D$745,"=engineering",'ledger'!$E$2:$E$745,"=cloud",'ledger'!$G$2:$G$745,"feb26")</f>
        <v>-152482</v>
      </c>
      <c r="F95" s="8">
        <f>SUMIFS('ledger'!$F$2:$F$745,'ledger'!$C$2:$C$745,"=uk",'ledger'!$D$2:$D$745,"=engineering",'ledger'!$E$2:$E$745,"=cloud",'ledger'!$G$2:$G$745,"mar26")</f>
        <v>-155223</v>
      </c>
      <c r="G95" s="8">
        <f>SUMIFS('ledger'!$F$2:$F$745,'ledger'!$C$2:$C$745,"=uk",'ledger'!$D$2:$D$745,"=engineering",'ledger'!$E$2:$E$745,"=cloud",'ledger'!$G$2:$G$745,"apr26")</f>
        <v>-159320</v>
      </c>
      <c r="H95" s="8">
        <f>SUMIFS('ledger'!$F$2:$F$745,'ledger'!$C$2:$C$745,"=uk",'ledger'!$D$2:$D$745,"=engineering",'ledger'!$E$2:$E$745,"=cloud",'ledger'!$G$2:$G$745,"may26")</f>
        <v>-182130</v>
      </c>
      <c r="I95" s="8">
        <f>SUMIFS('ledger'!$F$2:$F$745,'ledger'!$C$2:$C$745,"=uk",'ledger'!$D$2:$D$745,"=engineering",'ledger'!$E$2:$E$745,"=cloud",'ledger'!$G$2:$G$745,"jun26")</f>
        <v>-178940</v>
      </c>
      <c r="J95" s="8">
        <f>SUMIFS('ledger'!$F$2:$F$745,'ledger'!$C$2:$C$745,"=uk",'ledger'!$D$2:$D$745,"=engineering",'ledger'!$E$2:$E$745,"=cloud",'ledger'!$G$2:$G$745,"jul26")</f>
        <v>-157855</v>
      </c>
      <c r="K95" s="8">
        <f>SUMIFS('ledger'!$F$2:$F$745,'ledger'!$C$2:$C$745,"=uk",'ledger'!$D$2:$D$745,"=engineering",'ledger'!$E$2:$E$745,"=cloud",'ledger'!$G$2:$G$745,"aug26")</f>
        <v>-163112</v>
      </c>
      <c r="L95" s="8">
        <f>(-(L8)*'Forecast drivers'!J8)</f>
        <v>-176262.40235899997</v>
      </c>
      <c r="M95" s="8">
        <f>(-(M8)*'Forecast drivers'!K8)</f>
        <v>-179611.38800382096</v>
      </c>
      <c r="N95" s="8">
        <f>(-(N8)*'Forecast drivers'!L8)</f>
        <v>-183024.00437589354</v>
      </c>
      <c r="O95" s="8">
        <f>(-(O8)*'Forecast drivers'!M8)</f>
        <v>-186501.4604590355</v>
      </c>
    </row>
    <row r="96">
      <c r="A96" s="0" t="inlineStr">
        <is>
          <t xml:space="preserve">Cloud and infrastructure</t>
        </is>
      </c>
      <c r="B96" s="0" t="inlineStr">
        <is>
          <t xml:space="preserve">United Kingdom</t>
        </is>
      </c>
      <c r="C96" s="0" t="inlineStr">
        <is>
          <t xml:space="preserve">Customer success</t>
        </is>
      </c>
      <c r="D96" s="4">
        <f>SUMIFS('ledger'!$F$2:$F$745,'ledger'!$C$2:$C$745,"=uk",'ledger'!$D$2:$D$745,"=customer_success",'ledger'!$E$2:$E$745,"=cloud",'ledger'!$G$2:$G$745,"jan26")</f>
        <v>0</v>
      </c>
      <c r="E96" s="4">
        <f>SUMIFS('ledger'!$F$2:$F$745,'ledger'!$C$2:$C$745,"=uk",'ledger'!$D$2:$D$745,"=customer_success",'ledger'!$E$2:$E$745,"=cloud",'ledger'!$G$2:$G$745,"feb26")</f>
        <v>0</v>
      </c>
      <c r="F96" s="4">
        <f>SUMIFS('ledger'!$F$2:$F$745,'ledger'!$C$2:$C$745,"=uk",'ledger'!$D$2:$D$745,"=customer_success",'ledger'!$E$2:$E$745,"=cloud",'ledger'!$G$2:$G$745,"mar26")</f>
        <v>0</v>
      </c>
      <c r="G96" s="4">
        <f>SUMIFS('ledger'!$F$2:$F$745,'ledger'!$C$2:$C$745,"=uk",'ledger'!$D$2:$D$745,"=customer_success",'ledger'!$E$2:$E$745,"=cloud",'ledger'!$G$2:$G$745,"apr26")</f>
        <v>0</v>
      </c>
      <c r="H96" s="4">
        <f>SUMIFS('ledger'!$F$2:$F$745,'ledger'!$C$2:$C$745,"=uk",'ledger'!$D$2:$D$745,"=customer_success",'ledger'!$E$2:$E$745,"=cloud",'ledger'!$G$2:$G$745,"may26")</f>
        <v>0</v>
      </c>
      <c r="I96" s="4">
        <f>SUMIFS('ledger'!$F$2:$F$745,'ledger'!$C$2:$C$745,"=uk",'ledger'!$D$2:$D$745,"=customer_success",'ledger'!$E$2:$E$745,"=cloud",'ledger'!$G$2:$G$745,"jun26")</f>
        <v>0</v>
      </c>
      <c r="J96" s="4">
        <f>SUMIFS('ledger'!$F$2:$F$745,'ledger'!$C$2:$C$745,"=uk",'ledger'!$D$2:$D$745,"=customer_success",'ledger'!$E$2:$E$745,"=cloud",'ledger'!$G$2:$G$745,"jul26")</f>
        <v>0</v>
      </c>
      <c r="K96" s="4">
        <f>SUMIFS('ledger'!$F$2:$F$745,'ledger'!$C$2:$C$745,"=uk",'ledger'!$D$2:$D$745,"=customer_success",'ledger'!$E$2:$E$745,"=cloud",'ledger'!$G$2:$G$745,"aug26")</f>
        <v>0</v>
      </c>
      <c r="L96" s="4">
        <f>(K96*(1+'Forecast drivers'!J9))</f>
        <v>0</v>
      </c>
      <c r="M96" s="4">
        <f>(L96*(1+'Forecast drivers'!K9))</f>
        <v>0</v>
      </c>
      <c r="N96" s="4">
        <f>(M96*(1+'Forecast drivers'!L9))</f>
        <v>0</v>
      </c>
      <c r="O96" s="4">
        <f>(N96*(1+'Forecast drivers'!M9))</f>
        <v>0</v>
      </c>
    </row>
    <row r="97">
      <c r="A97" s="0" t="inlineStr">
        <is>
          <t xml:space="preserve">Cloud and infrastructure</t>
        </is>
      </c>
      <c r="B97" s="0" t="inlineStr">
        <is>
          <t xml:space="preserve">United Kingdom</t>
        </is>
      </c>
      <c r="C97" s="0" t="inlineStr">
        <is>
          <t xml:space="preserve">G&amp;A</t>
        </is>
      </c>
      <c r="D97" s="4">
        <f>SUMIFS('ledger'!$F$2:$F$745,'ledger'!$C$2:$C$745,"=uk",'ledger'!$D$2:$D$745,"=g_and_a",'ledger'!$E$2:$E$745,"=cloud",'ledger'!$G$2:$G$745,"jan26")</f>
        <v>0</v>
      </c>
      <c r="E97" s="4">
        <f>SUMIFS('ledger'!$F$2:$F$745,'ledger'!$C$2:$C$745,"=uk",'ledger'!$D$2:$D$745,"=g_and_a",'ledger'!$E$2:$E$745,"=cloud",'ledger'!$G$2:$G$745,"feb26")</f>
        <v>0</v>
      </c>
      <c r="F97" s="4">
        <f>SUMIFS('ledger'!$F$2:$F$745,'ledger'!$C$2:$C$745,"=uk",'ledger'!$D$2:$D$745,"=g_and_a",'ledger'!$E$2:$E$745,"=cloud",'ledger'!$G$2:$G$745,"mar26")</f>
        <v>0</v>
      </c>
      <c r="G97" s="4">
        <f>SUMIFS('ledger'!$F$2:$F$745,'ledger'!$C$2:$C$745,"=uk",'ledger'!$D$2:$D$745,"=g_and_a",'ledger'!$E$2:$E$745,"=cloud",'ledger'!$G$2:$G$745,"apr26")</f>
        <v>0</v>
      </c>
      <c r="H97" s="4">
        <f>SUMIFS('ledger'!$F$2:$F$745,'ledger'!$C$2:$C$745,"=uk",'ledger'!$D$2:$D$745,"=g_and_a",'ledger'!$E$2:$E$745,"=cloud",'ledger'!$G$2:$G$745,"may26")</f>
        <v>0</v>
      </c>
      <c r="I97" s="4">
        <f>SUMIFS('ledger'!$F$2:$F$745,'ledger'!$C$2:$C$745,"=uk",'ledger'!$D$2:$D$745,"=g_and_a",'ledger'!$E$2:$E$745,"=cloud",'ledger'!$G$2:$G$745,"jun26")</f>
        <v>0</v>
      </c>
      <c r="J97" s="4">
        <f>SUMIFS('ledger'!$F$2:$F$745,'ledger'!$C$2:$C$745,"=uk",'ledger'!$D$2:$D$745,"=g_and_a",'ledger'!$E$2:$E$745,"=cloud",'ledger'!$G$2:$G$745,"jul26")</f>
        <v>0</v>
      </c>
      <c r="K97" s="4">
        <f>SUMIFS('ledger'!$F$2:$F$745,'ledger'!$C$2:$C$745,"=uk",'ledger'!$D$2:$D$745,"=g_and_a",'ledger'!$E$2:$E$745,"=cloud",'ledger'!$G$2:$G$745,"aug26")</f>
        <v>0</v>
      </c>
      <c r="L97" s="4">
        <f>(K97*(1+'Forecast drivers'!J9))</f>
        <v>0</v>
      </c>
      <c r="M97" s="4">
        <f>(L97*(1+'Forecast drivers'!K9))</f>
        <v>0</v>
      </c>
      <c r="N97" s="4">
        <f>(M97*(1+'Forecast drivers'!L9))</f>
        <v>0</v>
      </c>
      <c r="O97" s="4">
        <f>(N97*(1+'Forecast drivers'!M9))</f>
        <v>0</v>
      </c>
    </row>
    <row r="98">
      <c r="A98" s="0" t="inlineStr">
        <is>
          <t xml:space="preserve">Marketing programs</t>
        </is>
      </c>
      <c r="B98" s="0" t="inlineStr">
        <is>
          <t xml:space="preserve">United States</t>
        </is>
      </c>
      <c r="C98" s="0" t="inlineStr">
        <is>
          <t xml:space="preserve">Company (revenue and cost of revenue)</t>
        </is>
      </c>
      <c r="D98" s="4">
        <f>SUMIFS('ledger'!$F$2:$F$745,'ledger'!$C$2:$C$745,"=us",'ledger'!$D$2:$D$745,"=company",'ledger'!$E$2:$E$745,"=marketing_programs",'ledger'!$G$2:$G$745,"jan26")</f>
        <v>0</v>
      </c>
      <c r="E98" s="4">
        <f>SUMIFS('ledger'!$F$2:$F$745,'ledger'!$C$2:$C$745,"=us",'ledger'!$D$2:$D$745,"=company",'ledger'!$E$2:$E$745,"=marketing_programs",'ledger'!$G$2:$G$745,"feb26")</f>
        <v>0</v>
      </c>
      <c r="F98" s="4">
        <f>SUMIFS('ledger'!$F$2:$F$745,'ledger'!$C$2:$C$745,"=us",'ledger'!$D$2:$D$745,"=company",'ledger'!$E$2:$E$745,"=marketing_programs",'ledger'!$G$2:$G$745,"mar26")</f>
        <v>0</v>
      </c>
      <c r="G98" s="4">
        <f>SUMIFS('ledger'!$F$2:$F$745,'ledger'!$C$2:$C$745,"=us",'ledger'!$D$2:$D$745,"=company",'ledger'!$E$2:$E$745,"=marketing_programs",'ledger'!$G$2:$G$745,"apr26")</f>
        <v>0</v>
      </c>
      <c r="H98" s="4">
        <f>SUMIFS('ledger'!$F$2:$F$745,'ledger'!$C$2:$C$745,"=us",'ledger'!$D$2:$D$745,"=company",'ledger'!$E$2:$E$745,"=marketing_programs",'ledger'!$G$2:$G$745,"may26")</f>
        <v>0</v>
      </c>
      <c r="I98" s="4">
        <f>SUMIFS('ledger'!$F$2:$F$745,'ledger'!$C$2:$C$745,"=us",'ledger'!$D$2:$D$745,"=company",'ledger'!$E$2:$E$745,"=marketing_programs",'ledger'!$G$2:$G$745,"jun26")</f>
        <v>0</v>
      </c>
      <c r="J98" s="4">
        <f>SUMIFS('ledger'!$F$2:$F$745,'ledger'!$C$2:$C$745,"=us",'ledger'!$D$2:$D$745,"=company",'ledger'!$E$2:$E$745,"=marketing_programs",'ledger'!$G$2:$G$745,"jul26")</f>
        <v>0</v>
      </c>
      <c r="K98" s="4">
        <f>SUMIFS('ledger'!$F$2:$F$745,'ledger'!$C$2:$C$745,"=us",'ledger'!$D$2:$D$745,"=company",'ledger'!$E$2:$E$745,"=marketing_programs",'ledger'!$G$2:$G$745,"aug26")</f>
        <v>0</v>
      </c>
      <c r="L98" s="4">
        <f>(K98*(1+'Forecast drivers'!J9))</f>
        <v>0</v>
      </c>
      <c r="M98" s="4">
        <f>(L98*(1+'Forecast drivers'!K9))</f>
        <v>0</v>
      </c>
      <c r="N98" s="4">
        <f>(M98*(1+'Forecast drivers'!L9))</f>
        <v>0</v>
      </c>
      <c r="O98" s="4">
        <f>(N98*(1+'Forecast drivers'!M9))</f>
        <v>0</v>
      </c>
    </row>
    <row r="99">
      <c r="A99" s="0" t="inlineStr">
        <is>
          <t xml:space="preserve">Marketing programs</t>
        </is>
      </c>
      <c r="B99" s="0" t="inlineStr">
        <is>
          <t xml:space="preserve">United States</t>
        </is>
      </c>
      <c r="C99" s="0" t="inlineStr">
        <is>
          <t xml:space="preserve">Sales</t>
        </is>
      </c>
      <c r="D99" s="4">
        <f>SUMIFS('ledger'!$F$2:$F$745,'ledger'!$C$2:$C$745,"=us",'ledger'!$D$2:$D$745,"=sales",'ledger'!$E$2:$E$745,"=marketing_programs",'ledger'!$G$2:$G$745,"jan26")</f>
        <v>0</v>
      </c>
      <c r="E99" s="4">
        <f>SUMIFS('ledger'!$F$2:$F$745,'ledger'!$C$2:$C$745,"=us",'ledger'!$D$2:$D$745,"=sales",'ledger'!$E$2:$E$745,"=marketing_programs",'ledger'!$G$2:$G$745,"feb26")</f>
        <v>0</v>
      </c>
      <c r="F99" s="4">
        <f>SUMIFS('ledger'!$F$2:$F$745,'ledger'!$C$2:$C$745,"=us",'ledger'!$D$2:$D$745,"=sales",'ledger'!$E$2:$E$745,"=marketing_programs",'ledger'!$G$2:$G$745,"mar26")</f>
        <v>0</v>
      </c>
      <c r="G99" s="4">
        <f>SUMIFS('ledger'!$F$2:$F$745,'ledger'!$C$2:$C$745,"=us",'ledger'!$D$2:$D$745,"=sales",'ledger'!$E$2:$E$745,"=marketing_programs",'ledger'!$G$2:$G$745,"apr26")</f>
        <v>0</v>
      </c>
      <c r="H99" s="4">
        <f>SUMIFS('ledger'!$F$2:$F$745,'ledger'!$C$2:$C$745,"=us",'ledger'!$D$2:$D$745,"=sales",'ledger'!$E$2:$E$745,"=marketing_programs",'ledger'!$G$2:$G$745,"may26")</f>
        <v>0</v>
      </c>
      <c r="I99" s="4">
        <f>SUMIFS('ledger'!$F$2:$F$745,'ledger'!$C$2:$C$745,"=us",'ledger'!$D$2:$D$745,"=sales",'ledger'!$E$2:$E$745,"=marketing_programs",'ledger'!$G$2:$G$745,"jun26")</f>
        <v>0</v>
      </c>
      <c r="J99" s="4">
        <f>SUMIFS('ledger'!$F$2:$F$745,'ledger'!$C$2:$C$745,"=us",'ledger'!$D$2:$D$745,"=sales",'ledger'!$E$2:$E$745,"=marketing_programs",'ledger'!$G$2:$G$745,"jul26")</f>
        <v>0</v>
      </c>
      <c r="K99" s="4">
        <f>SUMIFS('ledger'!$F$2:$F$745,'ledger'!$C$2:$C$745,"=us",'ledger'!$D$2:$D$745,"=sales",'ledger'!$E$2:$E$745,"=marketing_programs",'ledger'!$G$2:$G$745,"aug26")</f>
        <v>0</v>
      </c>
      <c r="L99" s="4">
        <f>(K99*(1+'Forecast drivers'!J9))</f>
        <v>0</v>
      </c>
      <c r="M99" s="4">
        <f>(L99*(1+'Forecast drivers'!K9))</f>
        <v>0</v>
      </c>
      <c r="N99" s="4">
        <f>(M99*(1+'Forecast drivers'!L9))</f>
        <v>0</v>
      </c>
      <c r="O99" s="4">
        <f>(N99*(1+'Forecast drivers'!M9))</f>
        <v>0</v>
      </c>
    </row>
    <row r="100">
      <c r="A100" s="0" t="inlineStr">
        <is>
          <t xml:space="preserve">Marketing programs</t>
        </is>
      </c>
      <c r="B100" s="0" t="inlineStr">
        <is>
          <t xml:space="preserve">United States</t>
        </is>
      </c>
      <c r="C100" s="0" t="inlineStr">
        <is>
          <t xml:space="preserve">Marketing</t>
        </is>
      </c>
      <c r="D100" s="8">
        <f>SUMIFS('ledger'!$F$2:$F$745,'ledger'!$C$2:$C$745,"=us",'ledger'!$D$2:$D$745,"=marketing",'ledger'!$E$2:$E$745,"=marketing_programs",'ledger'!$G$2:$G$745,"jan26")</f>
        <v>-322685</v>
      </c>
      <c r="E100" s="8">
        <f>SUMIFS('ledger'!$F$2:$F$745,'ledger'!$C$2:$C$745,"=us",'ledger'!$D$2:$D$745,"=marketing",'ledger'!$E$2:$E$745,"=marketing_programs",'ledger'!$G$2:$G$745,"feb26")</f>
        <v>-351037</v>
      </c>
      <c r="F100" s="8">
        <f>SUMIFS('ledger'!$F$2:$F$745,'ledger'!$C$2:$C$745,"=us",'ledger'!$D$2:$D$745,"=marketing",'ledger'!$E$2:$E$745,"=marketing_programs",'ledger'!$G$2:$G$745,"mar26")</f>
        <v>-390657</v>
      </c>
      <c r="G100" s="8">
        <f>SUMIFS('ledger'!$F$2:$F$745,'ledger'!$C$2:$C$745,"=us",'ledger'!$D$2:$D$745,"=marketing",'ledger'!$E$2:$E$745,"=marketing_programs",'ledger'!$G$2:$G$745,"apr26")</f>
        <v>-360160</v>
      </c>
      <c r="H100" s="8">
        <f>SUMIFS('ledger'!$F$2:$F$745,'ledger'!$C$2:$C$745,"=us",'ledger'!$D$2:$D$745,"=marketing",'ledger'!$E$2:$E$745,"=marketing_programs",'ledger'!$G$2:$G$745,"may26")</f>
        <v>-379914</v>
      </c>
      <c r="I100" s="8">
        <f>SUMIFS('ledger'!$F$2:$F$745,'ledger'!$C$2:$C$745,"=us",'ledger'!$D$2:$D$745,"=marketing",'ledger'!$E$2:$E$745,"=marketing_programs",'ledger'!$G$2:$G$745,"jun26")</f>
        <v>-380672</v>
      </c>
      <c r="J100" s="8">
        <f>SUMIFS('ledger'!$F$2:$F$745,'ledger'!$C$2:$C$745,"=us",'ledger'!$D$2:$D$745,"=marketing",'ledger'!$E$2:$E$745,"=marketing_programs",'ledger'!$G$2:$G$745,"jul26")</f>
        <v>-381495</v>
      </c>
      <c r="K100" s="8">
        <f>SUMIFS('ledger'!$F$2:$F$745,'ledger'!$C$2:$C$745,"=us",'ledger'!$D$2:$D$745,"=marketing",'ledger'!$E$2:$E$745,"=marketing_programs",'ledger'!$G$2:$G$745,"aug26")</f>
        <v>-346268</v>
      </c>
      <c r="L100" s="8">
        <f>(-(L2)*'Forecast drivers'!J7)</f>
        <v>-384321.017349</v>
      </c>
      <c r="M100" s="8">
        <f>(-(M2)*'Forecast drivers'!K7)</f>
        <v>-391623.116678631</v>
      </c>
      <c r="N100" s="8">
        <f>(-(N2)*'Forecast drivers'!L7)</f>
        <v>-399063.95589552494</v>
      </c>
      <c r="O100" s="8">
        <f>(-(O2)*'Forecast drivers'!M7)</f>
        <v>-406646.1710575399</v>
      </c>
    </row>
    <row r="101">
      <c r="A101" s="0" t="inlineStr">
        <is>
          <t xml:space="preserve">Marketing programs</t>
        </is>
      </c>
      <c r="B101" s="0" t="inlineStr">
        <is>
          <t xml:space="preserve">United States</t>
        </is>
      </c>
      <c r="C101" s="0" t="inlineStr">
        <is>
          <t xml:space="preserve">Engineering</t>
        </is>
      </c>
      <c r="D101" s="4">
        <f>SUMIFS('ledger'!$F$2:$F$745,'ledger'!$C$2:$C$745,"=us",'ledger'!$D$2:$D$745,"=engineering",'ledger'!$E$2:$E$745,"=marketing_programs",'ledger'!$G$2:$G$745,"jan26")</f>
        <v>0</v>
      </c>
      <c r="E101" s="4">
        <f>SUMIFS('ledger'!$F$2:$F$745,'ledger'!$C$2:$C$745,"=us",'ledger'!$D$2:$D$745,"=engineering",'ledger'!$E$2:$E$745,"=marketing_programs",'ledger'!$G$2:$G$745,"feb26")</f>
        <v>0</v>
      </c>
      <c r="F101" s="4">
        <f>SUMIFS('ledger'!$F$2:$F$745,'ledger'!$C$2:$C$745,"=us",'ledger'!$D$2:$D$745,"=engineering",'ledger'!$E$2:$E$745,"=marketing_programs",'ledger'!$G$2:$G$745,"mar26")</f>
        <v>0</v>
      </c>
      <c r="G101" s="4">
        <f>SUMIFS('ledger'!$F$2:$F$745,'ledger'!$C$2:$C$745,"=us",'ledger'!$D$2:$D$745,"=engineering",'ledger'!$E$2:$E$745,"=marketing_programs",'ledger'!$G$2:$G$745,"apr26")</f>
        <v>0</v>
      </c>
      <c r="H101" s="4">
        <f>SUMIFS('ledger'!$F$2:$F$745,'ledger'!$C$2:$C$745,"=us",'ledger'!$D$2:$D$745,"=engineering",'ledger'!$E$2:$E$745,"=marketing_programs",'ledger'!$G$2:$G$745,"may26")</f>
        <v>0</v>
      </c>
      <c r="I101" s="4">
        <f>SUMIFS('ledger'!$F$2:$F$745,'ledger'!$C$2:$C$745,"=us",'ledger'!$D$2:$D$745,"=engineering",'ledger'!$E$2:$E$745,"=marketing_programs",'ledger'!$G$2:$G$745,"jun26")</f>
        <v>0</v>
      </c>
      <c r="J101" s="4">
        <f>SUMIFS('ledger'!$F$2:$F$745,'ledger'!$C$2:$C$745,"=us",'ledger'!$D$2:$D$745,"=engineering",'ledger'!$E$2:$E$745,"=marketing_programs",'ledger'!$G$2:$G$745,"jul26")</f>
        <v>0</v>
      </c>
      <c r="K101" s="4">
        <f>SUMIFS('ledger'!$F$2:$F$745,'ledger'!$C$2:$C$745,"=us",'ledger'!$D$2:$D$745,"=engineering",'ledger'!$E$2:$E$745,"=marketing_programs",'ledger'!$G$2:$G$745,"aug26")</f>
        <v>0</v>
      </c>
      <c r="L101" s="4">
        <f>(K101*(1+'Forecast drivers'!J9))</f>
        <v>0</v>
      </c>
      <c r="M101" s="4">
        <f>(L101*(1+'Forecast drivers'!K9))</f>
        <v>0</v>
      </c>
      <c r="N101" s="4">
        <f>(M101*(1+'Forecast drivers'!L9))</f>
        <v>0</v>
      </c>
      <c r="O101" s="4">
        <f>(N101*(1+'Forecast drivers'!M9))</f>
        <v>0</v>
      </c>
    </row>
    <row r="102">
      <c r="A102" s="0" t="inlineStr">
        <is>
          <t xml:space="preserve">Marketing programs</t>
        </is>
      </c>
      <c r="B102" s="0" t="inlineStr">
        <is>
          <t xml:space="preserve">United States</t>
        </is>
      </c>
      <c r="C102" s="0" t="inlineStr">
        <is>
          <t xml:space="preserve">Customer success</t>
        </is>
      </c>
      <c r="D102" s="4">
        <f>SUMIFS('ledger'!$F$2:$F$745,'ledger'!$C$2:$C$745,"=us",'ledger'!$D$2:$D$745,"=customer_success",'ledger'!$E$2:$E$745,"=marketing_programs",'ledger'!$G$2:$G$745,"jan26")</f>
        <v>0</v>
      </c>
      <c r="E102" s="4">
        <f>SUMIFS('ledger'!$F$2:$F$745,'ledger'!$C$2:$C$745,"=us",'ledger'!$D$2:$D$745,"=customer_success",'ledger'!$E$2:$E$745,"=marketing_programs",'ledger'!$G$2:$G$745,"feb26")</f>
        <v>0</v>
      </c>
      <c r="F102" s="4">
        <f>SUMIFS('ledger'!$F$2:$F$745,'ledger'!$C$2:$C$745,"=us",'ledger'!$D$2:$D$745,"=customer_success",'ledger'!$E$2:$E$745,"=marketing_programs",'ledger'!$G$2:$G$745,"mar26")</f>
        <v>0</v>
      </c>
      <c r="G102" s="4">
        <f>SUMIFS('ledger'!$F$2:$F$745,'ledger'!$C$2:$C$745,"=us",'ledger'!$D$2:$D$745,"=customer_success",'ledger'!$E$2:$E$745,"=marketing_programs",'ledger'!$G$2:$G$745,"apr26")</f>
        <v>0</v>
      </c>
      <c r="H102" s="4">
        <f>SUMIFS('ledger'!$F$2:$F$745,'ledger'!$C$2:$C$745,"=us",'ledger'!$D$2:$D$745,"=customer_success",'ledger'!$E$2:$E$745,"=marketing_programs",'ledger'!$G$2:$G$745,"may26")</f>
        <v>0</v>
      </c>
      <c r="I102" s="4">
        <f>SUMIFS('ledger'!$F$2:$F$745,'ledger'!$C$2:$C$745,"=us",'ledger'!$D$2:$D$745,"=customer_success",'ledger'!$E$2:$E$745,"=marketing_programs",'ledger'!$G$2:$G$745,"jun26")</f>
        <v>0</v>
      </c>
      <c r="J102" s="4">
        <f>SUMIFS('ledger'!$F$2:$F$745,'ledger'!$C$2:$C$745,"=us",'ledger'!$D$2:$D$745,"=customer_success",'ledger'!$E$2:$E$745,"=marketing_programs",'ledger'!$G$2:$G$745,"jul26")</f>
        <v>0</v>
      </c>
      <c r="K102" s="4">
        <f>SUMIFS('ledger'!$F$2:$F$745,'ledger'!$C$2:$C$745,"=us",'ledger'!$D$2:$D$745,"=customer_success",'ledger'!$E$2:$E$745,"=marketing_programs",'ledger'!$G$2:$G$745,"aug26")</f>
        <v>0</v>
      </c>
      <c r="L102" s="4">
        <f>(K102*(1+'Forecast drivers'!J9))</f>
        <v>0</v>
      </c>
      <c r="M102" s="4">
        <f>(L102*(1+'Forecast drivers'!K9))</f>
        <v>0</v>
      </c>
      <c r="N102" s="4">
        <f>(M102*(1+'Forecast drivers'!L9))</f>
        <v>0</v>
      </c>
      <c r="O102" s="4">
        <f>(N102*(1+'Forecast drivers'!M9))</f>
        <v>0</v>
      </c>
    </row>
    <row r="103">
      <c r="A103" s="0" t="inlineStr">
        <is>
          <t xml:space="preserve">Marketing programs</t>
        </is>
      </c>
      <c r="B103" s="0" t="inlineStr">
        <is>
          <t xml:space="preserve">United States</t>
        </is>
      </c>
      <c r="C103" s="0" t="inlineStr">
        <is>
          <t xml:space="preserve">G&amp;A</t>
        </is>
      </c>
      <c r="D103" s="4">
        <f>SUMIFS('ledger'!$F$2:$F$745,'ledger'!$C$2:$C$745,"=us",'ledger'!$D$2:$D$745,"=g_and_a",'ledger'!$E$2:$E$745,"=marketing_programs",'ledger'!$G$2:$G$745,"jan26")</f>
        <v>0</v>
      </c>
      <c r="E103" s="4">
        <f>SUMIFS('ledger'!$F$2:$F$745,'ledger'!$C$2:$C$745,"=us",'ledger'!$D$2:$D$745,"=g_and_a",'ledger'!$E$2:$E$745,"=marketing_programs",'ledger'!$G$2:$G$745,"feb26")</f>
        <v>0</v>
      </c>
      <c r="F103" s="4">
        <f>SUMIFS('ledger'!$F$2:$F$745,'ledger'!$C$2:$C$745,"=us",'ledger'!$D$2:$D$745,"=g_and_a",'ledger'!$E$2:$E$745,"=marketing_programs",'ledger'!$G$2:$G$745,"mar26")</f>
        <v>0</v>
      </c>
      <c r="G103" s="4">
        <f>SUMIFS('ledger'!$F$2:$F$745,'ledger'!$C$2:$C$745,"=us",'ledger'!$D$2:$D$745,"=g_and_a",'ledger'!$E$2:$E$745,"=marketing_programs",'ledger'!$G$2:$G$745,"apr26")</f>
        <v>0</v>
      </c>
      <c r="H103" s="4">
        <f>SUMIFS('ledger'!$F$2:$F$745,'ledger'!$C$2:$C$745,"=us",'ledger'!$D$2:$D$745,"=g_and_a",'ledger'!$E$2:$E$745,"=marketing_programs",'ledger'!$G$2:$G$745,"may26")</f>
        <v>0</v>
      </c>
      <c r="I103" s="4">
        <f>SUMIFS('ledger'!$F$2:$F$745,'ledger'!$C$2:$C$745,"=us",'ledger'!$D$2:$D$745,"=g_and_a",'ledger'!$E$2:$E$745,"=marketing_programs",'ledger'!$G$2:$G$745,"jun26")</f>
        <v>0</v>
      </c>
      <c r="J103" s="4">
        <f>SUMIFS('ledger'!$F$2:$F$745,'ledger'!$C$2:$C$745,"=us",'ledger'!$D$2:$D$745,"=g_and_a",'ledger'!$E$2:$E$745,"=marketing_programs",'ledger'!$G$2:$G$745,"jul26")</f>
        <v>0</v>
      </c>
      <c r="K103" s="4">
        <f>SUMIFS('ledger'!$F$2:$F$745,'ledger'!$C$2:$C$745,"=us",'ledger'!$D$2:$D$745,"=g_and_a",'ledger'!$E$2:$E$745,"=marketing_programs",'ledger'!$G$2:$G$745,"aug26")</f>
        <v>0</v>
      </c>
      <c r="L103" s="4">
        <f>(K103*(1+'Forecast drivers'!J9))</f>
        <v>0</v>
      </c>
      <c r="M103" s="4">
        <f>(L103*(1+'Forecast drivers'!K9))</f>
        <v>0</v>
      </c>
      <c r="N103" s="4">
        <f>(M103*(1+'Forecast drivers'!L9))</f>
        <v>0</v>
      </c>
      <c r="O103" s="4">
        <f>(N103*(1+'Forecast drivers'!M9))</f>
        <v>0</v>
      </c>
    </row>
    <row r="104">
      <c r="A104" s="0" t="inlineStr">
        <is>
          <t xml:space="preserve">Marketing programs</t>
        </is>
      </c>
      <c r="B104" s="0" t="inlineStr">
        <is>
          <t xml:space="preserve">United Kingdom</t>
        </is>
      </c>
      <c r="C104" s="0" t="inlineStr">
        <is>
          <t xml:space="preserve">Company (revenue and cost of revenue)</t>
        </is>
      </c>
      <c r="D104" s="4">
        <f>SUMIFS('ledger'!$F$2:$F$745,'ledger'!$C$2:$C$745,"=uk",'ledger'!$D$2:$D$745,"=company",'ledger'!$E$2:$E$745,"=marketing_programs",'ledger'!$G$2:$G$745,"jan26")</f>
        <v>0</v>
      </c>
      <c r="E104" s="4">
        <f>SUMIFS('ledger'!$F$2:$F$745,'ledger'!$C$2:$C$745,"=uk",'ledger'!$D$2:$D$745,"=company",'ledger'!$E$2:$E$745,"=marketing_programs",'ledger'!$G$2:$G$745,"feb26")</f>
        <v>0</v>
      </c>
      <c r="F104" s="4">
        <f>SUMIFS('ledger'!$F$2:$F$745,'ledger'!$C$2:$C$745,"=uk",'ledger'!$D$2:$D$745,"=company",'ledger'!$E$2:$E$745,"=marketing_programs",'ledger'!$G$2:$G$745,"mar26")</f>
        <v>0</v>
      </c>
      <c r="G104" s="4">
        <f>SUMIFS('ledger'!$F$2:$F$745,'ledger'!$C$2:$C$745,"=uk",'ledger'!$D$2:$D$745,"=company",'ledger'!$E$2:$E$745,"=marketing_programs",'ledger'!$G$2:$G$745,"apr26")</f>
        <v>0</v>
      </c>
      <c r="H104" s="4">
        <f>SUMIFS('ledger'!$F$2:$F$745,'ledger'!$C$2:$C$745,"=uk",'ledger'!$D$2:$D$745,"=company",'ledger'!$E$2:$E$745,"=marketing_programs",'ledger'!$G$2:$G$745,"may26")</f>
        <v>0</v>
      </c>
      <c r="I104" s="4">
        <f>SUMIFS('ledger'!$F$2:$F$745,'ledger'!$C$2:$C$745,"=uk",'ledger'!$D$2:$D$745,"=company",'ledger'!$E$2:$E$745,"=marketing_programs",'ledger'!$G$2:$G$745,"jun26")</f>
        <v>0</v>
      </c>
      <c r="J104" s="4">
        <f>SUMIFS('ledger'!$F$2:$F$745,'ledger'!$C$2:$C$745,"=uk",'ledger'!$D$2:$D$745,"=company",'ledger'!$E$2:$E$745,"=marketing_programs",'ledger'!$G$2:$G$745,"jul26")</f>
        <v>0</v>
      </c>
      <c r="K104" s="4">
        <f>SUMIFS('ledger'!$F$2:$F$745,'ledger'!$C$2:$C$745,"=uk",'ledger'!$D$2:$D$745,"=company",'ledger'!$E$2:$E$745,"=marketing_programs",'ledger'!$G$2:$G$745,"aug26")</f>
        <v>0</v>
      </c>
      <c r="L104" s="4">
        <f>(K104*(1+'Forecast drivers'!J9))</f>
        <v>0</v>
      </c>
      <c r="M104" s="4">
        <f>(L104*(1+'Forecast drivers'!K9))</f>
        <v>0</v>
      </c>
      <c r="N104" s="4">
        <f>(M104*(1+'Forecast drivers'!L9))</f>
        <v>0</v>
      </c>
      <c r="O104" s="4">
        <f>(N104*(1+'Forecast drivers'!M9))</f>
        <v>0</v>
      </c>
    </row>
    <row r="105">
      <c r="A105" s="0" t="inlineStr">
        <is>
          <t xml:space="preserve">Marketing programs</t>
        </is>
      </c>
      <c r="B105" s="0" t="inlineStr">
        <is>
          <t xml:space="preserve">United Kingdom</t>
        </is>
      </c>
      <c r="C105" s="0" t="inlineStr">
        <is>
          <t xml:space="preserve">Sales</t>
        </is>
      </c>
      <c r="D105" s="4">
        <f>SUMIFS('ledger'!$F$2:$F$745,'ledger'!$C$2:$C$745,"=uk",'ledger'!$D$2:$D$745,"=sales",'ledger'!$E$2:$E$745,"=marketing_programs",'ledger'!$G$2:$G$745,"jan26")</f>
        <v>0</v>
      </c>
      <c r="E105" s="4">
        <f>SUMIFS('ledger'!$F$2:$F$745,'ledger'!$C$2:$C$745,"=uk",'ledger'!$D$2:$D$745,"=sales",'ledger'!$E$2:$E$745,"=marketing_programs",'ledger'!$G$2:$G$745,"feb26")</f>
        <v>0</v>
      </c>
      <c r="F105" s="4">
        <f>SUMIFS('ledger'!$F$2:$F$745,'ledger'!$C$2:$C$745,"=uk",'ledger'!$D$2:$D$745,"=sales",'ledger'!$E$2:$E$745,"=marketing_programs",'ledger'!$G$2:$G$745,"mar26")</f>
        <v>0</v>
      </c>
      <c r="G105" s="4">
        <f>SUMIFS('ledger'!$F$2:$F$745,'ledger'!$C$2:$C$745,"=uk",'ledger'!$D$2:$D$745,"=sales",'ledger'!$E$2:$E$745,"=marketing_programs",'ledger'!$G$2:$G$745,"apr26")</f>
        <v>0</v>
      </c>
      <c r="H105" s="4">
        <f>SUMIFS('ledger'!$F$2:$F$745,'ledger'!$C$2:$C$745,"=uk",'ledger'!$D$2:$D$745,"=sales",'ledger'!$E$2:$E$745,"=marketing_programs",'ledger'!$G$2:$G$745,"may26")</f>
        <v>0</v>
      </c>
      <c r="I105" s="4">
        <f>SUMIFS('ledger'!$F$2:$F$745,'ledger'!$C$2:$C$745,"=uk",'ledger'!$D$2:$D$745,"=sales",'ledger'!$E$2:$E$745,"=marketing_programs",'ledger'!$G$2:$G$745,"jun26")</f>
        <v>0</v>
      </c>
      <c r="J105" s="4">
        <f>SUMIFS('ledger'!$F$2:$F$745,'ledger'!$C$2:$C$745,"=uk",'ledger'!$D$2:$D$745,"=sales",'ledger'!$E$2:$E$745,"=marketing_programs",'ledger'!$G$2:$G$745,"jul26")</f>
        <v>0</v>
      </c>
      <c r="K105" s="4">
        <f>SUMIFS('ledger'!$F$2:$F$745,'ledger'!$C$2:$C$745,"=uk",'ledger'!$D$2:$D$745,"=sales",'ledger'!$E$2:$E$745,"=marketing_programs",'ledger'!$G$2:$G$745,"aug26")</f>
        <v>0</v>
      </c>
      <c r="L105" s="4">
        <f>(K105*(1+'Forecast drivers'!J9))</f>
        <v>0</v>
      </c>
      <c r="M105" s="4">
        <f>(L105*(1+'Forecast drivers'!K9))</f>
        <v>0</v>
      </c>
      <c r="N105" s="4">
        <f>(M105*(1+'Forecast drivers'!L9))</f>
        <v>0</v>
      </c>
      <c r="O105" s="4">
        <f>(N105*(1+'Forecast drivers'!M9))</f>
        <v>0</v>
      </c>
    </row>
    <row r="106">
      <c r="A106" s="0" t="inlineStr">
        <is>
          <t xml:space="preserve">Marketing programs</t>
        </is>
      </c>
      <c r="B106" s="0" t="inlineStr">
        <is>
          <t xml:space="preserve">United Kingdom</t>
        </is>
      </c>
      <c r="C106" s="0" t="inlineStr">
        <is>
          <t xml:space="preserve">Marketing</t>
        </is>
      </c>
      <c r="D106" s="8">
        <f>SUMIFS('ledger'!$F$2:$F$745,'ledger'!$C$2:$C$745,"=uk",'ledger'!$D$2:$D$745,"=marketing",'ledger'!$E$2:$E$745,"=marketing_programs",'ledger'!$G$2:$G$745,"jan26")</f>
        <v>-148459</v>
      </c>
      <c r="E106" s="8">
        <f>SUMIFS('ledger'!$F$2:$F$745,'ledger'!$C$2:$C$745,"=uk",'ledger'!$D$2:$D$745,"=marketing",'ledger'!$E$2:$E$745,"=marketing_programs",'ledger'!$G$2:$G$745,"feb26")</f>
        <v>-146374</v>
      </c>
      <c r="F106" s="8">
        <f>SUMIFS('ledger'!$F$2:$F$745,'ledger'!$C$2:$C$745,"=uk",'ledger'!$D$2:$D$745,"=marketing",'ledger'!$E$2:$E$745,"=marketing_programs",'ledger'!$G$2:$G$745,"mar26")</f>
        <v>-155990</v>
      </c>
      <c r="G106" s="8">
        <f>SUMIFS('ledger'!$F$2:$F$745,'ledger'!$C$2:$C$745,"=uk",'ledger'!$D$2:$D$745,"=marketing",'ledger'!$E$2:$E$745,"=marketing_programs",'ledger'!$G$2:$G$745,"apr26")</f>
        <v>-154330</v>
      </c>
      <c r="H106" s="8">
        <f>SUMIFS('ledger'!$F$2:$F$745,'ledger'!$C$2:$C$745,"=uk",'ledger'!$D$2:$D$745,"=marketing",'ledger'!$E$2:$E$745,"=marketing_programs",'ledger'!$G$2:$G$745,"may26")</f>
        <v>-159912</v>
      </c>
      <c r="I106" s="8">
        <f>SUMIFS('ledger'!$F$2:$F$745,'ledger'!$C$2:$C$745,"=uk",'ledger'!$D$2:$D$745,"=marketing",'ledger'!$E$2:$E$745,"=marketing_programs",'ledger'!$G$2:$G$745,"jun26")</f>
        <v>-160773</v>
      </c>
      <c r="J106" s="8">
        <f>SUMIFS('ledger'!$F$2:$F$745,'ledger'!$C$2:$C$745,"=uk",'ledger'!$D$2:$D$745,"=marketing",'ledger'!$E$2:$E$745,"=marketing_programs",'ledger'!$G$2:$G$745,"jul26")</f>
        <v>-147070</v>
      </c>
      <c r="K106" s="8">
        <f>SUMIFS('ledger'!$F$2:$F$745,'ledger'!$C$2:$C$745,"=uk",'ledger'!$D$2:$D$745,"=marketing",'ledger'!$E$2:$E$745,"=marketing_programs",'ledger'!$G$2:$G$745,"aug26")</f>
        <v>-162995</v>
      </c>
      <c r="L106" s="8">
        <f>(-(L8)*'Forecast drivers'!J7)</f>
        <v>-164379.54377299998</v>
      </c>
      <c r="M106" s="8">
        <f>(-(M8)*'Forecast drivers'!K7)</f>
        <v>-167502.75510468698</v>
      </c>
      <c r="N106" s="8">
        <f>(-(N8)*'Forecast drivers'!L7)</f>
        <v>-170685.30745167602</v>
      </c>
      <c r="O106" s="8">
        <f>(-(O8)*'Forecast drivers'!M7)</f>
        <v>-173928.32829325786</v>
      </c>
    </row>
    <row r="107">
      <c r="A107" s="0" t="inlineStr">
        <is>
          <t xml:space="preserve">Marketing programs</t>
        </is>
      </c>
      <c r="B107" s="0" t="inlineStr">
        <is>
          <t xml:space="preserve">United Kingdom</t>
        </is>
      </c>
      <c r="C107" s="0" t="inlineStr">
        <is>
          <t xml:space="preserve">Engineering</t>
        </is>
      </c>
      <c r="D107" s="4">
        <f>SUMIFS('ledger'!$F$2:$F$745,'ledger'!$C$2:$C$745,"=uk",'ledger'!$D$2:$D$745,"=engineering",'ledger'!$E$2:$E$745,"=marketing_programs",'ledger'!$G$2:$G$745,"jan26")</f>
        <v>0</v>
      </c>
      <c r="E107" s="4">
        <f>SUMIFS('ledger'!$F$2:$F$745,'ledger'!$C$2:$C$745,"=uk",'ledger'!$D$2:$D$745,"=engineering",'ledger'!$E$2:$E$745,"=marketing_programs",'ledger'!$G$2:$G$745,"feb26")</f>
        <v>0</v>
      </c>
      <c r="F107" s="4">
        <f>SUMIFS('ledger'!$F$2:$F$745,'ledger'!$C$2:$C$745,"=uk",'ledger'!$D$2:$D$745,"=engineering",'ledger'!$E$2:$E$745,"=marketing_programs",'ledger'!$G$2:$G$745,"mar26")</f>
        <v>0</v>
      </c>
      <c r="G107" s="4">
        <f>SUMIFS('ledger'!$F$2:$F$745,'ledger'!$C$2:$C$745,"=uk",'ledger'!$D$2:$D$745,"=engineering",'ledger'!$E$2:$E$745,"=marketing_programs",'ledger'!$G$2:$G$745,"apr26")</f>
        <v>0</v>
      </c>
      <c r="H107" s="4">
        <f>SUMIFS('ledger'!$F$2:$F$745,'ledger'!$C$2:$C$745,"=uk",'ledger'!$D$2:$D$745,"=engineering",'ledger'!$E$2:$E$745,"=marketing_programs",'ledger'!$G$2:$G$745,"may26")</f>
        <v>0</v>
      </c>
      <c r="I107" s="4">
        <f>SUMIFS('ledger'!$F$2:$F$745,'ledger'!$C$2:$C$745,"=uk",'ledger'!$D$2:$D$745,"=engineering",'ledger'!$E$2:$E$745,"=marketing_programs",'ledger'!$G$2:$G$745,"jun26")</f>
        <v>0</v>
      </c>
      <c r="J107" s="4">
        <f>SUMIFS('ledger'!$F$2:$F$745,'ledger'!$C$2:$C$745,"=uk",'ledger'!$D$2:$D$745,"=engineering",'ledger'!$E$2:$E$745,"=marketing_programs",'ledger'!$G$2:$G$745,"jul26")</f>
        <v>0</v>
      </c>
      <c r="K107" s="4">
        <f>SUMIFS('ledger'!$F$2:$F$745,'ledger'!$C$2:$C$745,"=uk",'ledger'!$D$2:$D$745,"=engineering",'ledger'!$E$2:$E$745,"=marketing_programs",'ledger'!$G$2:$G$745,"aug26")</f>
        <v>0</v>
      </c>
      <c r="L107" s="4">
        <f>(K107*(1+'Forecast drivers'!J9))</f>
        <v>0</v>
      </c>
      <c r="M107" s="4">
        <f>(L107*(1+'Forecast drivers'!K9))</f>
        <v>0</v>
      </c>
      <c r="N107" s="4">
        <f>(M107*(1+'Forecast drivers'!L9))</f>
        <v>0</v>
      </c>
      <c r="O107" s="4">
        <f>(N107*(1+'Forecast drivers'!M9))</f>
        <v>0</v>
      </c>
    </row>
    <row r="108">
      <c r="A108" s="0" t="inlineStr">
        <is>
          <t xml:space="preserve">Marketing programs</t>
        </is>
      </c>
      <c r="B108" s="0" t="inlineStr">
        <is>
          <t xml:space="preserve">United Kingdom</t>
        </is>
      </c>
      <c r="C108" s="0" t="inlineStr">
        <is>
          <t xml:space="preserve">Customer success</t>
        </is>
      </c>
      <c r="D108" s="4">
        <f>SUMIFS('ledger'!$F$2:$F$745,'ledger'!$C$2:$C$745,"=uk",'ledger'!$D$2:$D$745,"=customer_success",'ledger'!$E$2:$E$745,"=marketing_programs",'ledger'!$G$2:$G$745,"jan26")</f>
        <v>0</v>
      </c>
      <c r="E108" s="4">
        <f>SUMIFS('ledger'!$F$2:$F$745,'ledger'!$C$2:$C$745,"=uk",'ledger'!$D$2:$D$745,"=customer_success",'ledger'!$E$2:$E$745,"=marketing_programs",'ledger'!$G$2:$G$745,"feb26")</f>
        <v>0</v>
      </c>
      <c r="F108" s="4">
        <f>SUMIFS('ledger'!$F$2:$F$745,'ledger'!$C$2:$C$745,"=uk",'ledger'!$D$2:$D$745,"=customer_success",'ledger'!$E$2:$E$745,"=marketing_programs",'ledger'!$G$2:$G$745,"mar26")</f>
        <v>0</v>
      </c>
      <c r="G108" s="4">
        <f>SUMIFS('ledger'!$F$2:$F$745,'ledger'!$C$2:$C$745,"=uk",'ledger'!$D$2:$D$745,"=customer_success",'ledger'!$E$2:$E$745,"=marketing_programs",'ledger'!$G$2:$G$745,"apr26")</f>
        <v>0</v>
      </c>
      <c r="H108" s="4">
        <f>SUMIFS('ledger'!$F$2:$F$745,'ledger'!$C$2:$C$745,"=uk",'ledger'!$D$2:$D$745,"=customer_success",'ledger'!$E$2:$E$745,"=marketing_programs",'ledger'!$G$2:$G$745,"may26")</f>
        <v>0</v>
      </c>
      <c r="I108" s="4">
        <f>SUMIFS('ledger'!$F$2:$F$745,'ledger'!$C$2:$C$745,"=uk",'ledger'!$D$2:$D$745,"=customer_success",'ledger'!$E$2:$E$745,"=marketing_programs",'ledger'!$G$2:$G$745,"jun26")</f>
        <v>0</v>
      </c>
      <c r="J108" s="4">
        <f>SUMIFS('ledger'!$F$2:$F$745,'ledger'!$C$2:$C$745,"=uk",'ledger'!$D$2:$D$745,"=customer_success",'ledger'!$E$2:$E$745,"=marketing_programs",'ledger'!$G$2:$G$745,"jul26")</f>
        <v>0</v>
      </c>
      <c r="K108" s="4">
        <f>SUMIFS('ledger'!$F$2:$F$745,'ledger'!$C$2:$C$745,"=uk",'ledger'!$D$2:$D$745,"=customer_success",'ledger'!$E$2:$E$745,"=marketing_programs",'ledger'!$G$2:$G$745,"aug26")</f>
        <v>0</v>
      </c>
      <c r="L108" s="4">
        <f>(K108*(1+'Forecast drivers'!J9))</f>
        <v>0</v>
      </c>
      <c r="M108" s="4">
        <f>(L108*(1+'Forecast drivers'!K9))</f>
        <v>0</v>
      </c>
      <c r="N108" s="4">
        <f>(M108*(1+'Forecast drivers'!L9))</f>
        <v>0</v>
      </c>
      <c r="O108" s="4">
        <f>(N108*(1+'Forecast drivers'!M9))</f>
        <v>0</v>
      </c>
    </row>
    <row r="109">
      <c r="A109" s="0" t="inlineStr">
        <is>
          <t xml:space="preserve">Marketing programs</t>
        </is>
      </c>
      <c r="B109" s="0" t="inlineStr">
        <is>
          <t xml:space="preserve">United Kingdom</t>
        </is>
      </c>
      <c r="C109" s="0" t="inlineStr">
        <is>
          <t xml:space="preserve">G&amp;A</t>
        </is>
      </c>
      <c r="D109" s="4">
        <f>SUMIFS('ledger'!$F$2:$F$745,'ledger'!$C$2:$C$745,"=uk",'ledger'!$D$2:$D$745,"=g_and_a",'ledger'!$E$2:$E$745,"=marketing_programs",'ledger'!$G$2:$G$745,"jan26")</f>
        <v>0</v>
      </c>
      <c r="E109" s="4">
        <f>SUMIFS('ledger'!$F$2:$F$745,'ledger'!$C$2:$C$745,"=uk",'ledger'!$D$2:$D$745,"=g_and_a",'ledger'!$E$2:$E$745,"=marketing_programs",'ledger'!$G$2:$G$745,"feb26")</f>
        <v>0</v>
      </c>
      <c r="F109" s="4">
        <f>SUMIFS('ledger'!$F$2:$F$745,'ledger'!$C$2:$C$745,"=uk",'ledger'!$D$2:$D$745,"=g_and_a",'ledger'!$E$2:$E$745,"=marketing_programs",'ledger'!$G$2:$G$745,"mar26")</f>
        <v>0</v>
      </c>
      <c r="G109" s="4">
        <f>SUMIFS('ledger'!$F$2:$F$745,'ledger'!$C$2:$C$745,"=uk",'ledger'!$D$2:$D$745,"=g_and_a",'ledger'!$E$2:$E$745,"=marketing_programs",'ledger'!$G$2:$G$745,"apr26")</f>
        <v>0</v>
      </c>
      <c r="H109" s="4">
        <f>SUMIFS('ledger'!$F$2:$F$745,'ledger'!$C$2:$C$745,"=uk",'ledger'!$D$2:$D$745,"=g_and_a",'ledger'!$E$2:$E$745,"=marketing_programs",'ledger'!$G$2:$G$745,"may26")</f>
        <v>0</v>
      </c>
      <c r="I109" s="4">
        <f>SUMIFS('ledger'!$F$2:$F$745,'ledger'!$C$2:$C$745,"=uk",'ledger'!$D$2:$D$745,"=g_and_a",'ledger'!$E$2:$E$745,"=marketing_programs",'ledger'!$G$2:$G$745,"jun26")</f>
        <v>0</v>
      </c>
      <c r="J109" s="4">
        <f>SUMIFS('ledger'!$F$2:$F$745,'ledger'!$C$2:$C$745,"=uk",'ledger'!$D$2:$D$745,"=g_and_a",'ledger'!$E$2:$E$745,"=marketing_programs",'ledger'!$G$2:$G$745,"jul26")</f>
        <v>0</v>
      </c>
      <c r="K109" s="4">
        <f>SUMIFS('ledger'!$F$2:$F$745,'ledger'!$C$2:$C$745,"=uk",'ledger'!$D$2:$D$745,"=g_and_a",'ledger'!$E$2:$E$745,"=marketing_programs",'ledger'!$G$2:$G$745,"aug26")</f>
        <v>0</v>
      </c>
      <c r="L109" s="4">
        <f>(K109*(1+'Forecast drivers'!J9))</f>
        <v>0</v>
      </c>
      <c r="M109" s="4">
        <f>(L109*(1+'Forecast drivers'!K9))</f>
        <v>0</v>
      </c>
      <c r="N109" s="4">
        <f>(M109*(1+'Forecast drivers'!L9))</f>
        <v>0</v>
      </c>
      <c r="O109" s="4">
        <f>(N109*(1+'Forecast drivers'!M9))</f>
        <v>0</v>
      </c>
    </row>
    <row r="110">
      <c r="A110" s="0" t="inlineStr">
        <is>
          <t xml:space="preserve">Software and tools</t>
        </is>
      </c>
      <c r="B110" s="0" t="inlineStr">
        <is>
          <t xml:space="preserve">United States</t>
        </is>
      </c>
      <c r="C110" s="0" t="inlineStr">
        <is>
          <t xml:space="preserve">Company (revenue and cost of revenue)</t>
        </is>
      </c>
      <c r="D110" s="4">
        <f>SUMIFS('ledger'!$F$2:$F$745,'ledger'!$C$2:$C$745,"=us",'ledger'!$D$2:$D$745,"=company",'ledger'!$E$2:$E$745,"=software",'ledger'!$G$2:$G$745,"jan26")</f>
        <v>0</v>
      </c>
      <c r="E110" s="4">
        <f>SUMIFS('ledger'!$F$2:$F$745,'ledger'!$C$2:$C$745,"=us",'ledger'!$D$2:$D$745,"=company",'ledger'!$E$2:$E$745,"=software",'ledger'!$G$2:$G$745,"feb26")</f>
        <v>0</v>
      </c>
      <c r="F110" s="4">
        <f>SUMIFS('ledger'!$F$2:$F$745,'ledger'!$C$2:$C$745,"=us",'ledger'!$D$2:$D$745,"=company",'ledger'!$E$2:$E$745,"=software",'ledger'!$G$2:$G$745,"mar26")</f>
        <v>0</v>
      </c>
      <c r="G110" s="4">
        <f>SUMIFS('ledger'!$F$2:$F$745,'ledger'!$C$2:$C$745,"=us",'ledger'!$D$2:$D$745,"=company",'ledger'!$E$2:$E$745,"=software",'ledger'!$G$2:$G$745,"apr26")</f>
        <v>0</v>
      </c>
      <c r="H110" s="4">
        <f>SUMIFS('ledger'!$F$2:$F$745,'ledger'!$C$2:$C$745,"=us",'ledger'!$D$2:$D$745,"=company",'ledger'!$E$2:$E$745,"=software",'ledger'!$G$2:$G$745,"may26")</f>
        <v>0</v>
      </c>
      <c r="I110" s="4">
        <f>SUMIFS('ledger'!$F$2:$F$745,'ledger'!$C$2:$C$745,"=us",'ledger'!$D$2:$D$745,"=company",'ledger'!$E$2:$E$745,"=software",'ledger'!$G$2:$G$745,"jun26")</f>
        <v>0</v>
      </c>
      <c r="J110" s="4">
        <f>SUMIFS('ledger'!$F$2:$F$745,'ledger'!$C$2:$C$745,"=us",'ledger'!$D$2:$D$745,"=company",'ledger'!$E$2:$E$745,"=software",'ledger'!$G$2:$G$745,"jul26")</f>
        <v>0</v>
      </c>
      <c r="K110" s="4">
        <f>SUMIFS('ledger'!$F$2:$F$745,'ledger'!$C$2:$C$745,"=us",'ledger'!$D$2:$D$745,"=company",'ledger'!$E$2:$E$745,"=software",'ledger'!$G$2:$G$745,"aug26")</f>
        <v>0</v>
      </c>
      <c r="L110" s="4">
        <f>(K110*(1+'Forecast drivers'!J9))</f>
        <v>0</v>
      </c>
      <c r="M110" s="4">
        <f>(L110*(1+'Forecast drivers'!K9))</f>
        <v>0</v>
      </c>
      <c r="N110" s="4">
        <f>(M110*(1+'Forecast drivers'!L9))</f>
        <v>0</v>
      </c>
      <c r="O110" s="4">
        <f>(N110*(1+'Forecast drivers'!M9))</f>
        <v>0</v>
      </c>
    </row>
    <row r="111">
      <c r="A111" s="0" t="inlineStr">
        <is>
          <t xml:space="preserve">Software and tools</t>
        </is>
      </c>
      <c r="B111" s="0" t="inlineStr">
        <is>
          <t xml:space="preserve">United States</t>
        </is>
      </c>
      <c r="C111" s="0" t="inlineStr">
        <is>
          <t xml:space="preserve">Sales</t>
        </is>
      </c>
      <c r="D111" s="8">
        <f>SUMIFS('ledger'!$F$2:$F$745,'ledger'!$C$2:$C$745,"=us",'ledger'!$D$2:$D$745,"=sales",'ledger'!$E$2:$E$745,"=software",'ledger'!$G$2:$G$745,"jan26")</f>
        <v>-8967</v>
      </c>
      <c r="E111" s="8">
        <f>SUMIFS('ledger'!$F$2:$F$745,'ledger'!$C$2:$C$745,"=us",'ledger'!$D$2:$D$745,"=sales",'ledger'!$E$2:$E$745,"=software",'ledger'!$G$2:$G$745,"feb26")</f>
        <v>-8853</v>
      </c>
      <c r="F111" s="8">
        <f>SUMIFS('ledger'!$F$2:$F$745,'ledger'!$C$2:$C$745,"=us",'ledger'!$D$2:$D$745,"=sales",'ledger'!$E$2:$E$745,"=software",'ledger'!$G$2:$G$745,"mar26")</f>
        <v>-9404</v>
      </c>
      <c r="G111" s="8">
        <f>SUMIFS('ledger'!$F$2:$F$745,'ledger'!$C$2:$C$745,"=us",'ledger'!$D$2:$D$745,"=sales",'ledger'!$E$2:$E$745,"=software",'ledger'!$G$2:$G$745,"apr26")</f>
        <v>-9697</v>
      </c>
      <c r="H111" s="8">
        <f>SUMIFS('ledger'!$F$2:$F$745,'ledger'!$C$2:$C$745,"=us",'ledger'!$D$2:$D$745,"=sales",'ledger'!$E$2:$E$745,"=software",'ledger'!$G$2:$G$745,"may26")</f>
        <v>-10088</v>
      </c>
      <c r="I111" s="8">
        <f>SUMIFS('ledger'!$F$2:$F$745,'ledger'!$C$2:$C$745,"=us",'ledger'!$D$2:$D$745,"=sales",'ledger'!$E$2:$E$745,"=software",'ledger'!$G$2:$G$745,"jun26")</f>
        <v>-9511</v>
      </c>
      <c r="J111" s="8">
        <f>SUMIFS('ledger'!$F$2:$F$745,'ledger'!$C$2:$C$745,"=us",'ledger'!$D$2:$D$745,"=sales",'ledger'!$E$2:$E$745,"=software",'ledger'!$G$2:$G$745,"jul26")</f>
        <v>-8630</v>
      </c>
      <c r="K111" s="8">
        <f>SUMIFS('ledger'!$F$2:$F$745,'ledger'!$C$2:$C$745,"=us",'ledger'!$D$2:$D$745,"=sales",'ledger'!$E$2:$E$745,"=software",'ledger'!$G$2:$G$745,"aug26")</f>
        <v>-9093</v>
      </c>
      <c r="L111" s="8">
        <f>(K111*(1+'Forecast drivers'!J9))</f>
        <v>-9147.558</v>
      </c>
      <c r="M111" s="8">
        <f>(L111*(1+'Forecast drivers'!K9))</f>
        <v>-9202.443348</v>
      </c>
      <c r="N111" s="8">
        <f>(M111*(1+'Forecast drivers'!L9))</f>
        <v>-9257.658008088001</v>
      </c>
      <c r="O111" s="8">
        <f>(N111*(1+'Forecast drivers'!M9))</f>
        <v>-9313.203956136529</v>
      </c>
    </row>
    <row r="112">
      <c r="A112" s="0" t="inlineStr">
        <is>
          <t xml:space="preserve">Software and tools</t>
        </is>
      </c>
      <c r="B112" s="0" t="inlineStr">
        <is>
          <t xml:space="preserve">United States</t>
        </is>
      </c>
      <c r="C112" s="0" t="inlineStr">
        <is>
          <t xml:space="preserve">Marketing</t>
        </is>
      </c>
      <c r="D112" s="8">
        <f>SUMIFS('ledger'!$F$2:$F$745,'ledger'!$C$2:$C$745,"=us",'ledger'!$D$2:$D$745,"=marketing",'ledger'!$E$2:$E$745,"=software",'ledger'!$G$2:$G$745,"jan26")</f>
        <v>-13369</v>
      </c>
      <c r="E112" s="8">
        <f>SUMIFS('ledger'!$F$2:$F$745,'ledger'!$C$2:$C$745,"=us",'ledger'!$D$2:$D$745,"=marketing",'ledger'!$E$2:$E$745,"=software",'ledger'!$G$2:$G$745,"feb26")</f>
        <v>-13706</v>
      </c>
      <c r="F112" s="8">
        <f>SUMIFS('ledger'!$F$2:$F$745,'ledger'!$C$2:$C$745,"=us",'ledger'!$D$2:$D$745,"=marketing",'ledger'!$E$2:$E$745,"=software",'ledger'!$G$2:$G$745,"mar26")</f>
        <v>-14305</v>
      </c>
      <c r="G112" s="8">
        <f>SUMIFS('ledger'!$F$2:$F$745,'ledger'!$C$2:$C$745,"=us",'ledger'!$D$2:$D$745,"=marketing",'ledger'!$E$2:$E$745,"=software",'ledger'!$G$2:$G$745,"apr26")</f>
        <v>-14942</v>
      </c>
      <c r="H112" s="8">
        <f>SUMIFS('ledger'!$F$2:$F$745,'ledger'!$C$2:$C$745,"=us",'ledger'!$D$2:$D$745,"=marketing",'ledger'!$E$2:$E$745,"=software",'ledger'!$G$2:$G$745,"may26")</f>
        <v>-13745</v>
      </c>
      <c r="I112" s="8">
        <f>SUMIFS('ledger'!$F$2:$F$745,'ledger'!$C$2:$C$745,"=us",'ledger'!$D$2:$D$745,"=marketing",'ledger'!$E$2:$E$745,"=software",'ledger'!$G$2:$G$745,"jun26")</f>
        <v>-13782</v>
      </c>
      <c r="J112" s="8">
        <f>SUMIFS('ledger'!$F$2:$F$745,'ledger'!$C$2:$C$745,"=us",'ledger'!$D$2:$D$745,"=marketing",'ledger'!$E$2:$E$745,"=software",'ledger'!$G$2:$G$745,"jul26")</f>
        <v>-14598</v>
      </c>
      <c r="K112" s="8">
        <f>SUMIFS('ledger'!$F$2:$F$745,'ledger'!$C$2:$C$745,"=us",'ledger'!$D$2:$D$745,"=marketing",'ledger'!$E$2:$E$745,"=software",'ledger'!$G$2:$G$745,"aug26")</f>
        <v>-13303</v>
      </c>
      <c r="L112" s="8">
        <f>(K112*(1+'Forecast drivers'!J9))</f>
        <v>-13382.818</v>
      </c>
      <c r="M112" s="8">
        <f>(L112*(1+'Forecast drivers'!K9))</f>
        <v>-13463.114908</v>
      </c>
      <c r="N112" s="8">
        <f>(M112*(1+'Forecast drivers'!L9))</f>
        <v>-13543.893597448</v>
      </c>
      <c r="O112" s="8">
        <f>(N112*(1+'Forecast drivers'!M9))</f>
        <v>-13625.156959032687</v>
      </c>
    </row>
    <row r="113">
      <c r="A113" s="0" t="inlineStr">
        <is>
          <t xml:space="preserve">Software and tools</t>
        </is>
      </c>
      <c r="B113" s="0" t="inlineStr">
        <is>
          <t xml:space="preserve">United States</t>
        </is>
      </c>
      <c r="C113" s="0" t="inlineStr">
        <is>
          <t xml:space="preserve">Engineering</t>
        </is>
      </c>
      <c r="D113" s="8">
        <f>SUMIFS('ledger'!$F$2:$F$745,'ledger'!$C$2:$C$745,"=us",'ledger'!$D$2:$D$745,"=engineering",'ledger'!$E$2:$E$745,"=software",'ledger'!$G$2:$G$745,"jan26")</f>
        <v>-20420</v>
      </c>
      <c r="E113" s="8">
        <f>SUMIFS('ledger'!$F$2:$F$745,'ledger'!$C$2:$C$745,"=us",'ledger'!$D$2:$D$745,"=engineering",'ledger'!$E$2:$E$745,"=software",'ledger'!$G$2:$G$745,"feb26")</f>
        <v>-22242</v>
      </c>
      <c r="F113" s="8">
        <f>SUMIFS('ledger'!$F$2:$F$745,'ledger'!$C$2:$C$745,"=us",'ledger'!$D$2:$D$745,"=engineering",'ledger'!$E$2:$E$745,"=software",'ledger'!$G$2:$G$745,"mar26")</f>
        <v>-19846</v>
      </c>
      <c r="G113" s="8">
        <f>SUMIFS('ledger'!$F$2:$F$745,'ledger'!$C$2:$C$745,"=us",'ledger'!$D$2:$D$745,"=engineering",'ledger'!$E$2:$E$745,"=software",'ledger'!$G$2:$G$745,"apr26")</f>
        <v>-19815</v>
      </c>
      <c r="H113" s="8">
        <f>SUMIFS('ledger'!$F$2:$F$745,'ledger'!$C$2:$C$745,"=us",'ledger'!$D$2:$D$745,"=engineering",'ledger'!$E$2:$E$745,"=software",'ledger'!$G$2:$G$745,"may26")</f>
        <v>-22561</v>
      </c>
      <c r="I113" s="8">
        <f>SUMIFS('ledger'!$F$2:$F$745,'ledger'!$C$2:$C$745,"=us",'ledger'!$D$2:$D$745,"=engineering",'ledger'!$E$2:$E$745,"=software",'ledger'!$G$2:$G$745,"jun26")</f>
        <v>-21510</v>
      </c>
      <c r="J113" s="8">
        <f>SUMIFS('ledger'!$F$2:$F$745,'ledger'!$C$2:$C$745,"=us",'ledger'!$D$2:$D$745,"=engineering",'ledger'!$E$2:$E$745,"=software",'ledger'!$G$2:$G$745,"jul26")</f>
        <v>-22118</v>
      </c>
      <c r="K113" s="8">
        <f>SUMIFS('ledger'!$F$2:$F$745,'ledger'!$C$2:$C$745,"=us",'ledger'!$D$2:$D$745,"=engineering",'ledger'!$E$2:$E$745,"=software",'ledger'!$G$2:$G$745,"aug26")</f>
        <v>-22109</v>
      </c>
      <c r="L113" s="8">
        <f>(K113*(1+'Forecast drivers'!J9))</f>
        <v>-22241.654</v>
      </c>
      <c r="M113" s="8">
        <f>(L113*(1+'Forecast drivers'!K9))</f>
        <v>-22375.103924</v>
      </c>
      <c r="N113" s="8">
        <f>(M113*(1+'Forecast drivers'!L9))</f>
        <v>-22509.354547544</v>
      </c>
      <c r="O113" s="8">
        <f>(N113*(1+'Forecast drivers'!M9))</f>
        <v>-22644.410674829265</v>
      </c>
    </row>
    <row r="114">
      <c r="A114" s="0" t="inlineStr">
        <is>
          <t xml:space="preserve">Software and tools</t>
        </is>
      </c>
      <c r="B114" s="0" t="inlineStr">
        <is>
          <t xml:space="preserve">United States</t>
        </is>
      </c>
      <c r="C114" s="0" t="inlineStr">
        <is>
          <t xml:space="preserve">Customer success</t>
        </is>
      </c>
      <c r="D114" s="8">
        <f>SUMIFS('ledger'!$F$2:$F$745,'ledger'!$C$2:$C$745,"=us",'ledger'!$D$2:$D$745,"=customer_success",'ledger'!$E$2:$E$745,"=software",'ledger'!$G$2:$G$745,"jan26")</f>
        <v>-6995</v>
      </c>
      <c r="E114" s="8">
        <f>SUMIFS('ledger'!$F$2:$F$745,'ledger'!$C$2:$C$745,"=us",'ledger'!$D$2:$D$745,"=customer_success",'ledger'!$E$2:$E$745,"=software",'ledger'!$G$2:$G$745,"feb26")</f>
        <v>-7466</v>
      </c>
      <c r="F114" s="8">
        <f>SUMIFS('ledger'!$F$2:$F$745,'ledger'!$C$2:$C$745,"=us",'ledger'!$D$2:$D$745,"=customer_success",'ledger'!$E$2:$E$745,"=software",'ledger'!$G$2:$G$745,"mar26")</f>
        <v>-7155</v>
      </c>
      <c r="G114" s="8">
        <f>SUMIFS('ledger'!$F$2:$F$745,'ledger'!$C$2:$C$745,"=us",'ledger'!$D$2:$D$745,"=customer_success",'ledger'!$E$2:$E$745,"=software",'ledger'!$G$2:$G$745,"apr26")</f>
        <v>-7318</v>
      </c>
      <c r="H114" s="8">
        <f>SUMIFS('ledger'!$F$2:$F$745,'ledger'!$C$2:$C$745,"=us",'ledger'!$D$2:$D$745,"=customer_success",'ledger'!$E$2:$E$745,"=software",'ledger'!$G$2:$G$745,"may26")</f>
        <v>-7348</v>
      </c>
      <c r="I114" s="8">
        <f>SUMIFS('ledger'!$F$2:$F$745,'ledger'!$C$2:$C$745,"=us",'ledger'!$D$2:$D$745,"=customer_success",'ledger'!$E$2:$E$745,"=software",'ledger'!$G$2:$G$745,"jun26")</f>
        <v>-7561</v>
      </c>
      <c r="J114" s="8">
        <f>SUMIFS('ledger'!$F$2:$F$745,'ledger'!$C$2:$C$745,"=us",'ledger'!$D$2:$D$745,"=customer_success",'ledger'!$E$2:$E$745,"=software",'ledger'!$G$2:$G$745,"jul26")</f>
        <v>-7273</v>
      </c>
      <c r="K114" s="8">
        <f>SUMIFS('ledger'!$F$2:$F$745,'ledger'!$C$2:$C$745,"=us",'ledger'!$D$2:$D$745,"=customer_success",'ledger'!$E$2:$E$745,"=software",'ledger'!$G$2:$G$745,"aug26")</f>
        <v>-6767</v>
      </c>
      <c r="L114" s="8">
        <f>(K114*(1+'Forecast drivers'!J9))</f>
        <v>-6807.602</v>
      </c>
      <c r="M114" s="8">
        <f>(L114*(1+'Forecast drivers'!K9))</f>
        <v>-6848.447612</v>
      </c>
      <c r="N114" s="8">
        <f>(M114*(1+'Forecast drivers'!L9))</f>
        <v>-6889.538297672</v>
      </c>
      <c r="O114" s="8">
        <f>(N114*(1+'Forecast drivers'!M9))</f>
        <v>-6930.875527458033</v>
      </c>
    </row>
    <row r="115">
      <c r="A115" s="0" t="inlineStr">
        <is>
          <t xml:space="preserve">Software and tools</t>
        </is>
      </c>
      <c r="B115" s="0" t="inlineStr">
        <is>
          <t xml:space="preserve">United States</t>
        </is>
      </c>
      <c r="C115" s="0" t="inlineStr">
        <is>
          <t xml:space="preserve">G&amp;A</t>
        </is>
      </c>
      <c r="D115" s="8">
        <f>SUMIFS('ledger'!$F$2:$F$745,'ledger'!$C$2:$C$745,"=us",'ledger'!$D$2:$D$745,"=g_and_a",'ledger'!$E$2:$E$745,"=software",'ledger'!$G$2:$G$745,"jan26")</f>
        <v>-11268</v>
      </c>
      <c r="E115" s="8">
        <f>SUMIFS('ledger'!$F$2:$F$745,'ledger'!$C$2:$C$745,"=us",'ledger'!$D$2:$D$745,"=g_and_a",'ledger'!$E$2:$E$745,"=software",'ledger'!$G$2:$G$745,"feb26")</f>
        <v>-10651</v>
      </c>
      <c r="F115" s="8">
        <f>SUMIFS('ledger'!$F$2:$F$745,'ledger'!$C$2:$C$745,"=us",'ledger'!$D$2:$D$745,"=g_and_a",'ledger'!$E$2:$E$745,"=software",'ledger'!$G$2:$G$745,"mar26")</f>
        <v>-10903</v>
      </c>
      <c r="G115" s="8">
        <f>SUMIFS('ledger'!$F$2:$F$745,'ledger'!$C$2:$C$745,"=us",'ledger'!$D$2:$D$745,"=g_and_a",'ledger'!$E$2:$E$745,"=software",'ledger'!$G$2:$G$745,"apr26")</f>
        <v>-11137</v>
      </c>
      <c r="H115" s="8">
        <f>SUMIFS('ledger'!$F$2:$F$745,'ledger'!$C$2:$C$745,"=us",'ledger'!$D$2:$D$745,"=g_and_a",'ledger'!$E$2:$E$745,"=software",'ledger'!$G$2:$G$745,"may26")</f>
        <v>-11139</v>
      </c>
      <c r="I115" s="8">
        <f>SUMIFS('ledger'!$F$2:$F$745,'ledger'!$C$2:$C$745,"=us",'ledger'!$D$2:$D$745,"=g_and_a",'ledger'!$E$2:$E$745,"=software",'ledger'!$G$2:$G$745,"jun26")</f>
        <v>-12270</v>
      </c>
      <c r="J115" s="8">
        <f>SUMIFS('ledger'!$F$2:$F$745,'ledger'!$C$2:$C$745,"=us",'ledger'!$D$2:$D$745,"=g_and_a",'ledger'!$E$2:$E$745,"=software",'ledger'!$G$2:$G$745,"jul26")</f>
        <v>-11969</v>
      </c>
      <c r="K115" s="8">
        <f>SUMIFS('ledger'!$F$2:$F$745,'ledger'!$C$2:$C$745,"=us",'ledger'!$D$2:$D$745,"=g_and_a",'ledger'!$E$2:$E$745,"=software",'ledger'!$G$2:$G$745,"aug26")</f>
        <v>-11726</v>
      </c>
      <c r="L115" s="8">
        <f>(K115*(1+'Forecast drivers'!J9))</f>
        <v>-11796.356</v>
      </c>
      <c r="M115" s="8">
        <f>(L115*(1+'Forecast drivers'!K9))</f>
        <v>-11867.134136</v>
      </c>
      <c r="N115" s="8">
        <f>(M115*(1+'Forecast drivers'!L9))</f>
        <v>-11938.336940816002</v>
      </c>
      <c r="O115" s="8">
        <f>(N115*(1+'Forecast drivers'!M9))</f>
        <v>-12009.966962460898</v>
      </c>
    </row>
    <row r="116">
      <c r="A116" s="0" t="inlineStr">
        <is>
          <t xml:space="preserve">Software and tools</t>
        </is>
      </c>
      <c r="B116" s="0" t="inlineStr">
        <is>
          <t xml:space="preserve">United Kingdom</t>
        </is>
      </c>
      <c r="C116" s="0" t="inlineStr">
        <is>
          <t xml:space="preserve">Company (revenue and cost of revenue)</t>
        </is>
      </c>
      <c r="D116" s="4">
        <f>SUMIFS('ledger'!$F$2:$F$745,'ledger'!$C$2:$C$745,"=uk",'ledger'!$D$2:$D$745,"=company",'ledger'!$E$2:$E$745,"=software",'ledger'!$G$2:$G$745,"jan26")</f>
        <v>0</v>
      </c>
      <c r="E116" s="4">
        <f>SUMIFS('ledger'!$F$2:$F$745,'ledger'!$C$2:$C$745,"=uk",'ledger'!$D$2:$D$745,"=company",'ledger'!$E$2:$E$745,"=software",'ledger'!$G$2:$G$745,"feb26")</f>
        <v>0</v>
      </c>
      <c r="F116" s="4">
        <f>SUMIFS('ledger'!$F$2:$F$745,'ledger'!$C$2:$C$745,"=uk",'ledger'!$D$2:$D$745,"=company",'ledger'!$E$2:$E$745,"=software",'ledger'!$G$2:$G$745,"mar26")</f>
        <v>0</v>
      </c>
      <c r="G116" s="4">
        <f>SUMIFS('ledger'!$F$2:$F$745,'ledger'!$C$2:$C$745,"=uk",'ledger'!$D$2:$D$745,"=company",'ledger'!$E$2:$E$745,"=software",'ledger'!$G$2:$G$745,"apr26")</f>
        <v>0</v>
      </c>
      <c r="H116" s="4">
        <f>SUMIFS('ledger'!$F$2:$F$745,'ledger'!$C$2:$C$745,"=uk",'ledger'!$D$2:$D$745,"=company",'ledger'!$E$2:$E$745,"=software",'ledger'!$G$2:$G$745,"may26")</f>
        <v>0</v>
      </c>
      <c r="I116" s="4">
        <f>SUMIFS('ledger'!$F$2:$F$745,'ledger'!$C$2:$C$745,"=uk",'ledger'!$D$2:$D$745,"=company",'ledger'!$E$2:$E$745,"=software",'ledger'!$G$2:$G$745,"jun26")</f>
        <v>0</v>
      </c>
      <c r="J116" s="4">
        <f>SUMIFS('ledger'!$F$2:$F$745,'ledger'!$C$2:$C$745,"=uk",'ledger'!$D$2:$D$745,"=company",'ledger'!$E$2:$E$745,"=software",'ledger'!$G$2:$G$745,"jul26")</f>
        <v>0</v>
      </c>
      <c r="K116" s="4">
        <f>SUMIFS('ledger'!$F$2:$F$745,'ledger'!$C$2:$C$745,"=uk",'ledger'!$D$2:$D$745,"=company",'ledger'!$E$2:$E$745,"=software",'ledger'!$G$2:$G$745,"aug26")</f>
        <v>0</v>
      </c>
      <c r="L116" s="4">
        <f>(K116*(1+'Forecast drivers'!J9))</f>
        <v>0</v>
      </c>
      <c r="M116" s="4">
        <f>(L116*(1+'Forecast drivers'!K9))</f>
        <v>0</v>
      </c>
      <c r="N116" s="4">
        <f>(M116*(1+'Forecast drivers'!L9))</f>
        <v>0</v>
      </c>
      <c r="O116" s="4">
        <f>(N116*(1+'Forecast drivers'!M9))</f>
        <v>0</v>
      </c>
    </row>
    <row r="117">
      <c r="A117" s="0" t="inlineStr">
        <is>
          <t xml:space="preserve">Software and tools</t>
        </is>
      </c>
      <c r="B117" s="0" t="inlineStr">
        <is>
          <t xml:space="preserve">United Kingdom</t>
        </is>
      </c>
      <c r="C117" s="0" t="inlineStr">
        <is>
          <t xml:space="preserve">Sales</t>
        </is>
      </c>
      <c r="D117" s="8">
        <f>SUMIFS('ledger'!$F$2:$F$745,'ledger'!$C$2:$C$745,"=uk",'ledger'!$D$2:$D$745,"=sales",'ledger'!$E$2:$E$745,"=software",'ledger'!$G$2:$G$745,"jan26")</f>
        <v>-3762</v>
      </c>
      <c r="E117" s="8">
        <f>SUMIFS('ledger'!$F$2:$F$745,'ledger'!$C$2:$C$745,"=uk",'ledger'!$D$2:$D$745,"=sales",'ledger'!$E$2:$E$745,"=software",'ledger'!$G$2:$G$745,"feb26")</f>
        <v>-3853</v>
      </c>
      <c r="F117" s="8">
        <f>SUMIFS('ledger'!$F$2:$F$745,'ledger'!$C$2:$C$745,"=uk",'ledger'!$D$2:$D$745,"=sales",'ledger'!$E$2:$E$745,"=software",'ledger'!$G$2:$G$745,"mar26")</f>
        <v>-3747</v>
      </c>
      <c r="G117" s="8">
        <f>SUMIFS('ledger'!$F$2:$F$745,'ledger'!$C$2:$C$745,"=uk",'ledger'!$D$2:$D$745,"=sales",'ledger'!$E$2:$E$745,"=software",'ledger'!$G$2:$G$745,"apr26")</f>
        <v>-4010</v>
      </c>
      <c r="H117" s="8">
        <f>SUMIFS('ledger'!$F$2:$F$745,'ledger'!$C$2:$C$745,"=uk",'ledger'!$D$2:$D$745,"=sales",'ledger'!$E$2:$E$745,"=software",'ledger'!$G$2:$G$745,"may26")</f>
        <v>-4074</v>
      </c>
      <c r="I117" s="8">
        <f>SUMIFS('ledger'!$F$2:$F$745,'ledger'!$C$2:$C$745,"=uk",'ledger'!$D$2:$D$745,"=sales",'ledger'!$E$2:$E$745,"=software",'ledger'!$G$2:$G$745,"jun26")</f>
        <v>-3574</v>
      </c>
      <c r="J117" s="8">
        <f>SUMIFS('ledger'!$F$2:$F$745,'ledger'!$C$2:$C$745,"=uk",'ledger'!$D$2:$D$745,"=sales",'ledger'!$E$2:$E$745,"=software",'ledger'!$G$2:$G$745,"jul26")</f>
        <v>-3992</v>
      </c>
      <c r="K117" s="8">
        <f>SUMIFS('ledger'!$F$2:$F$745,'ledger'!$C$2:$C$745,"=uk",'ledger'!$D$2:$D$745,"=sales",'ledger'!$E$2:$E$745,"=software",'ledger'!$G$2:$G$745,"aug26")</f>
        <v>-3946</v>
      </c>
      <c r="L117" s="8">
        <f>(K117*(1+'Forecast drivers'!J9))</f>
        <v>-3969.676</v>
      </c>
      <c r="M117" s="8">
        <f>(L117*(1+'Forecast drivers'!K9))</f>
        <v>-3993.494056</v>
      </c>
      <c r="N117" s="8">
        <f>(M117*(1+'Forecast drivers'!L9))</f>
        <v>-4017.455020336</v>
      </c>
      <c r="O117" s="8">
        <f>(N117*(1+'Forecast drivers'!M9))</f>
        <v>-4041.559750458016</v>
      </c>
    </row>
    <row r="118">
      <c r="A118" s="0" t="inlineStr">
        <is>
          <t xml:space="preserve">Software and tools</t>
        </is>
      </c>
      <c r="B118" s="0" t="inlineStr">
        <is>
          <t xml:space="preserve">United Kingdom</t>
        </is>
      </c>
      <c r="C118" s="0" t="inlineStr">
        <is>
          <t xml:space="preserve">Marketing</t>
        </is>
      </c>
      <c r="D118" s="8">
        <f>SUMIFS('ledger'!$F$2:$F$745,'ledger'!$C$2:$C$745,"=uk",'ledger'!$D$2:$D$745,"=marketing",'ledger'!$E$2:$E$745,"=software",'ledger'!$G$2:$G$745,"jan26")</f>
        <v>-6266</v>
      </c>
      <c r="E118" s="8">
        <f>SUMIFS('ledger'!$F$2:$F$745,'ledger'!$C$2:$C$745,"=uk",'ledger'!$D$2:$D$745,"=marketing",'ledger'!$E$2:$E$745,"=software",'ledger'!$G$2:$G$745,"feb26")</f>
        <v>-5977</v>
      </c>
      <c r="F118" s="8">
        <f>SUMIFS('ledger'!$F$2:$F$745,'ledger'!$C$2:$C$745,"=uk",'ledger'!$D$2:$D$745,"=marketing",'ledger'!$E$2:$E$745,"=software",'ledger'!$G$2:$G$745,"mar26")</f>
        <v>-5749</v>
      </c>
      <c r="G118" s="8">
        <f>SUMIFS('ledger'!$F$2:$F$745,'ledger'!$C$2:$C$745,"=uk",'ledger'!$D$2:$D$745,"=marketing",'ledger'!$E$2:$E$745,"=software",'ledger'!$G$2:$G$745,"apr26")</f>
        <v>-6444</v>
      </c>
      <c r="H118" s="8">
        <f>SUMIFS('ledger'!$F$2:$F$745,'ledger'!$C$2:$C$745,"=uk",'ledger'!$D$2:$D$745,"=marketing",'ledger'!$E$2:$E$745,"=software",'ledger'!$G$2:$G$745,"may26")</f>
        <v>-6043</v>
      </c>
      <c r="I118" s="8">
        <f>SUMIFS('ledger'!$F$2:$F$745,'ledger'!$C$2:$C$745,"=uk",'ledger'!$D$2:$D$745,"=marketing",'ledger'!$E$2:$E$745,"=software",'ledger'!$G$2:$G$745,"jun26")</f>
        <v>-5662</v>
      </c>
      <c r="J118" s="8">
        <f>SUMIFS('ledger'!$F$2:$F$745,'ledger'!$C$2:$C$745,"=uk",'ledger'!$D$2:$D$745,"=marketing",'ledger'!$E$2:$E$745,"=software",'ledger'!$G$2:$G$745,"jul26")</f>
        <v>-6372</v>
      </c>
      <c r="K118" s="8">
        <f>SUMIFS('ledger'!$F$2:$F$745,'ledger'!$C$2:$C$745,"=uk",'ledger'!$D$2:$D$745,"=marketing",'ledger'!$E$2:$E$745,"=software",'ledger'!$G$2:$G$745,"aug26")</f>
        <v>-6233</v>
      </c>
      <c r="L118" s="8">
        <f>(K118*(1+'Forecast drivers'!J9))</f>
        <v>-6270.398</v>
      </c>
      <c r="M118" s="8">
        <f>(L118*(1+'Forecast drivers'!K9))</f>
        <v>-6308.020388</v>
      </c>
      <c r="N118" s="8">
        <f>(M118*(1+'Forecast drivers'!L9))</f>
        <v>-6345.8685103279995</v>
      </c>
      <c r="O118" s="8">
        <f>(N118*(1+'Forecast drivers'!M9))</f>
        <v>-6383.943721389967</v>
      </c>
    </row>
    <row r="119">
      <c r="A119" s="0" t="inlineStr">
        <is>
          <t xml:space="preserve">Software and tools</t>
        </is>
      </c>
      <c r="B119" s="0" t="inlineStr">
        <is>
          <t xml:space="preserve">United Kingdom</t>
        </is>
      </c>
      <c r="C119" s="0" t="inlineStr">
        <is>
          <t xml:space="preserve">Engineering</t>
        </is>
      </c>
      <c r="D119" s="8">
        <f>SUMIFS('ledger'!$F$2:$F$745,'ledger'!$C$2:$C$745,"=uk",'ledger'!$D$2:$D$745,"=engineering",'ledger'!$E$2:$E$745,"=software",'ledger'!$G$2:$G$745,"jan26")</f>
        <v>-8444</v>
      </c>
      <c r="E119" s="8">
        <f>SUMIFS('ledger'!$F$2:$F$745,'ledger'!$C$2:$C$745,"=uk",'ledger'!$D$2:$D$745,"=engineering",'ledger'!$E$2:$E$745,"=software",'ledger'!$G$2:$G$745,"feb26")</f>
        <v>-9058</v>
      </c>
      <c r="F119" s="8">
        <f>SUMIFS('ledger'!$F$2:$F$745,'ledger'!$C$2:$C$745,"=uk",'ledger'!$D$2:$D$745,"=engineering",'ledger'!$E$2:$E$745,"=software",'ledger'!$G$2:$G$745,"mar26")</f>
        <v>-8518</v>
      </c>
      <c r="G119" s="8">
        <f>SUMIFS('ledger'!$F$2:$F$745,'ledger'!$C$2:$C$745,"=uk",'ledger'!$D$2:$D$745,"=engineering",'ledger'!$E$2:$E$745,"=software",'ledger'!$G$2:$G$745,"apr26")</f>
        <v>-9077</v>
      </c>
      <c r="H119" s="8">
        <f>SUMIFS('ledger'!$F$2:$F$745,'ledger'!$C$2:$C$745,"=uk",'ledger'!$D$2:$D$745,"=engineering",'ledger'!$E$2:$E$745,"=software",'ledger'!$G$2:$G$745,"may26")</f>
        <v>-9636</v>
      </c>
      <c r="I119" s="8">
        <f>SUMIFS('ledger'!$F$2:$F$745,'ledger'!$C$2:$C$745,"=uk",'ledger'!$D$2:$D$745,"=engineering",'ledger'!$E$2:$E$745,"=software",'ledger'!$G$2:$G$745,"jun26")</f>
        <v>-8953</v>
      </c>
      <c r="J119" s="8">
        <f>SUMIFS('ledger'!$F$2:$F$745,'ledger'!$C$2:$C$745,"=uk",'ledger'!$D$2:$D$745,"=engineering",'ledger'!$E$2:$E$745,"=software",'ledger'!$G$2:$G$745,"jul26")</f>
        <v>-8800</v>
      </c>
      <c r="K119" s="8">
        <f>SUMIFS('ledger'!$F$2:$F$745,'ledger'!$C$2:$C$745,"=uk",'ledger'!$D$2:$D$745,"=engineering",'ledger'!$E$2:$E$745,"=software",'ledger'!$G$2:$G$745,"aug26")</f>
        <v>-8774</v>
      </c>
      <c r="L119" s="8">
        <f>(K119*(1+'Forecast drivers'!J9))</f>
        <v>-8826.644</v>
      </c>
      <c r="M119" s="8">
        <f>(L119*(1+'Forecast drivers'!K9))</f>
        <v>-8879.603864</v>
      </c>
      <c r="N119" s="8">
        <f>(M119*(1+'Forecast drivers'!L9))</f>
        <v>-8932.881487184</v>
      </c>
      <c r="O119" s="8">
        <f>(N119*(1+'Forecast drivers'!M9))</f>
        <v>-8986.478776107104</v>
      </c>
    </row>
    <row r="120">
      <c r="A120" s="0" t="inlineStr">
        <is>
          <t xml:space="preserve">Software and tools</t>
        </is>
      </c>
      <c r="B120" s="0" t="inlineStr">
        <is>
          <t xml:space="preserve">United Kingdom</t>
        </is>
      </c>
      <c r="C120" s="0" t="inlineStr">
        <is>
          <t xml:space="preserve">Customer success</t>
        </is>
      </c>
      <c r="D120" s="8">
        <f>SUMIFS('ledger'!$F$2:$F$745,'ledger'!$C$2:$C$745,"=uk",'ledger'!$D$2:$D$745,"=customer_success",'ledger'!$E$2:$E$745,"=software",'ledger'!$G$2:$G$745,"jan26")</f>
        <v>-2958</v>
      </c>
      <c r="E120" s="8">
        <f>SUMIFS('ledger'!$F$2:$F$745,'ledger'!$C$2:$C$745,"=uk",'ledger'!$D$2:$D$745,"=customer_success",'ledger'!$E$2:$E$745,"=software",'ledger'!$G$2:$G$745,"feb26")</f>
        <v>-3126</v>
      </c>
      <c r="F120" s="8">
        <f>SUMIFS('ledger'!$F$2:$F$745,'ledger'!$C$2:$C$745,"=uk",'ledger'!$D$2:$D$745,"=customer_success",'ledger'!$E$2:$E$745,"=software",'ledger'!$G$2:$G$745,"mar26")</f>
        <v>-3213</v>
      </c>
      <c r="G120" s="8">
        <f>SUMIFS('ledger'!$F$2:$F$745,'ledger'!$C$2:$C$745,"=uk",'ledger'!$D$2:$D$745,"=customer_success",'ledger'!$E$2:$E$745,"=software",'ledger'!$G$2:$G$745,"apr26")</f>
        <v>-3087</v>
      </c>
      <c r="H120" s="8">
        <f>SUMIFS('ledger'!$F$2:$F$745,'ledger'!$C$2:$C$745,"=uk",'ledger'!$D$2:$D$745,"=customer_success",'ledger'!$E$2:$E$745,"=software",'ledger'!$G$2:$G$745,"may26")</f>
        <v>-3072</v>
      </c>
      <c r="I120" s="8">
        <f>SUMIFS('ledger'!$F$2:$F$745,'ledger'!$C$2:$C$745,"=uk",'ledger'!$D$2:$D$745,"=customer_success",'ledger'!$E$2:$E$745,"=software",'ledger'!$G$2:$G$745,"jun26")</f>
        <v>-2996</v>
      </c>
      <c r="J120" s="8">
        <f>SUMIFS('ledger'!$F$2:$F$745,'ledger'!$C$2:$C$745,"=uk",'ledger'!$D$2:$D$745,"=customer_success",'ledger'!$E$2:$E$745,"=software",'ledger'!$G$2:$G$745,"jul26")</f>
        <v>-2995</v>
      </c>
      <c r="K120" s="8">
        <f>SUMIFS('ledger'!$F$2:$F$745,'ledger'!$C$2:$C$745,"=uk",'ledger'!$D$2:$D$745,"=customer_success",'ledger'!$E$2:$E$745,"=software",'ledger'!$G$2:$G$745,"aug26")</f>
        <v>-3186</v>
      </c>
      <c r="L120" s="8">
        <f>(K120*(1+'Forecast drivers'!J9))</f>
        <v>-3205.116</v>
      </c>
      <c r="M120" s="8">
        <f>(L120*(1+'Forecast drivers'!K9))</f>
        <v>-3224.346696</v>
      </c>
      <c r="N120" s="8">
        <f>(M120*(1+'Forecast drivers'!L9))</f>
        <v>-3243.6927761760003</v>
      </c>
      <c r="O120" s="8">
        <f>(N120*(1+'Forecast drivers'!M9))</f>
        <v>-3263.154932833056</v>
      </c>
    </row>
    <row r="121">
      <c r="A121" s="0" t="inlineStr">
        <is>
          <t xml:space="preserve">Software and tools</t>
        </is>
      </c>
      <c r="B121" s="0" t="inlineStr">
        <is>
          <t xml:space="preserve">United Kingdom</t>
        </is>
      </c>
      <c r="C121" s="0" t="inlineStr">
        <is>
          <t xml:space="preserve">G&amp;A</t>
        </is>
      </c>
      <c r="D121" s="8">
        <f>SUMIFS('ledger'!$F$2:$F$745,'ledger'!$C$2:$C$745,"=uk",'ledger'!$D$2:$D$745,"=g_and_a",'ledger'!$E$2:$E$745,"=software",'ledger'!$G$2:$G$745,"jan26")</f>
        <v>-4680</v>
      </c>
      <c r="E121" s="8">
        <f>SUMIFS('ledger'!$F$2:$F$745,'ledger'!$C$2:$C$745,"=uk",'ledger'!$D$2:$D$745,"=g_and_a",'ledger'!$E$2:$E$745,"=software",'ledger'!$G$2:$G$745,"feb26")</f>
        <v>-4970</v>
      </c>
      <c r="F121" s="8">
        <f>SUMIFS('ledger'!$F$2:$F$745,'ledger'!$C$2:$C$745,"=uk",'ledger'!$D$2:$D$745,"=g_and_a",'ledger'!$E$2:$E$745,"=software",'ledger'!$G$2:$G$745,"mar26")</f>
        <v>-4555</v>
      </c>
      <c r="G121" s="8">
        <f>SUMIFS('ledger'!$F$2:$F$745,'ledger'!$C$2:$C$745,"=uk",'ledger'!$D$2:$D$745,"=g_and_a",'ledger'!$E$2:$E$745,"=software",'ledger'!$G$2:$G$745,"apr26")</f>
        <v>-4855</v>
      </c>
      <c r="H121" s="8">
        <f>SUMIFS('ledger'!$F$2:$F$745,'ledger'!$C$2:$C$745,"=uk",'ledger'!$D$2:$D$745,"=g_and_a",'ledger'!$E$2:$E$745,"=software",'ledger'!$G$2:$G$745,"may26")</f>
        <v>-4542</v>
      </c>
      <c r="I121" s="8">
        <f>SUMIFS('ledger'!$F$2:$F$745,'ledger'!$C$2:$C$745,"=uk",'ledger'!$D$2:$D$745,"=g_and_a",'ledger'!$E$2:$E$745,"=software",'ledger'!$G$2:$G$745,"jun26")</f>
        <v>-4740</v>
      </c>
      <c r="J121" s="8">
        <f>SUMIFS('ledger'!$F$2:$F$745,'ledger'!$C$2:$C$745,"=uk",'ledger'!$D$2:$D$745,"=g_and_a",'ledger'!$E$2:$E$745,"=software",'ledger'!$G$2:$G$745,"jul26")</f>
        <v>-4712</v>
      </c>
      <c r="K121" s="8">
        <f>SUMIFS('ledger'!$F$2:$F$745,'ledger'!$C$2:$C$745,"=uk",'ledger'!$D$2:$D$745,"=g_and_a",'ledger'!$E$2:$E$745,"=software",'ledger'!$G$2:$G$745,"aug26")</f>
        <v>-5021</v>
      </c>
      <c r="L121" s="8">
        <f>(K121*(1+'Forecast drivers'!J9))</f>
        <v>-5051.126</v>
      </c>
      <c r="M121" s="8">
        <f>(L121*(1+'Forecast drivers'!K9))</f>
        <v>-5081.432756</v>
      </c>
      <c r="N121" s="8">
        <f>(M121*(1+'Forecast drivers'!L9))</f>
        <v>-5111.921352536</v>
      </c>
      <c r="O121" s="8">
        <f>(N121*(1+'Forecast drivers'!M9))</f>
        <v>-5142.592880651217</v>
      </c>
    </row>
    <row r="122">
      <c r="A122" s="0" t="inlineStr">
        <is>
          <t xml:space="preserve">Travel and events</t>
        </is>
      </c>
      <c r="B122" s="0" t="inlineStr">
        <is>
          <t xml:space="preserve">United States</t>
        </is>
      </c>
      <c r="C122" s="0" t="inlineStr">
        <is>
          <t xml:space="preserve">Company (revenue and cost of revenue)</t>
        </is>
      </c>
      <c r="D122" s="4">
        <f>SUMIFS('ledger'!$F$2:$F$745,'ledger'!$C$2:$C$745,"=us",'ledger'!$D$2:$D$745,"=company",'ledger'!$E$2:$E$745,"=travel",'ledger'!$G$2:$G$745,"jan26")</f>
        <v>0</v>
      </c>
      <c r="E122" s="4">
        <f>SUMIFS('ledger'!$F$2:$F$745,'ledger'!$C$2:$C$745,"=us",'ledger'!$D$2:$D$745,"=company",'ledger'!$E$2:$E$745,"=travel",'ledger'!$G$2:$G$745,"feb26")</f>
        <v>0</v>
      </c>
      <c r="F122" s="4">
        <f>SUMIFS('ledger'!$F$2:$F$745,'ledger'!$C$2:$C$745,"=us",'ledger'!$D$2:$D$745,"=company",'ledger'!$E$2:$E$745,"=travel",'ledger'!$G$2:$G$745,"mar26")</f>
        <v>0</v>
      </c>
      <c r="G122" s="4">
        <f>SUMIFS('ledger'!$F$2:$F$745,'ledger'!$C$2:$C$745,"=us",'ledger'!$D$2:$D$745,"=company",'ledger'!$E$2:$E$745,"=travel",'ledger'!$G$2:$G$745,"apr26")</f>
        <v>0</v>
      </c>
      <c r="H122" s="4">
        <f>SUMIFS('ledger'!$F$2:$F$745,'ledger'!$C$2:$C$745,"=us",'ledger'!$D$2:$D$745,"=company",'ledger'!$E$2:$E$745,"=travel",'ledger'!$G$2:$G$745,"may26")</f>
        <v>0</v>
      </c>
      <c r="I122" s="4">
        <f>SUMIFS('ledger'!$F$2:$F$745,'ledger'!$C$2:$C$745,"=us",'ledger'!$D$2:$D$745,"=company",'ledger'!$E$2:$E$745,"=travel",'ledger'!$G$2:$G$745,"jun26")</f>
        <v>0</v>
      </c>
      <c r="J122" s="4">
        <f>SUMIFS('ledger'!$F$2:$F$745,'ledger'!$C$2:$C$745,"=us",'ledger'!$D$2:$D$745,"=company",'ledger'!$E$2:$E$745,"=travel",'ledger'!$G$2:$G$745,"jul26")</f>
        <v>0</v>
      </c>
      <c r="K122" s="4">
        <f>SUMIFS('ledger'!$F$2:$F$745,'ledger'!$C$2:$C$745,"=us",'ledger'!$D$2:$D$745,"=company",'ledger'!$E$2:$E$745,"=travel",'ledger'!$G$2:$G$745,"aug26")</f>
        <v>0</v>
      </c>
      <c r="L122" s="4">
        <f>(K122*(1+'Forecast drivers'!J9))</f>
        <v>0</v>
      </c>
      <c r="M122" s="4">
        <f>(L122*(1+'Forecast drivers'!K9))</f>
        <v>0</v>
      </c>
      <c r="N122" s="4">
        <f>(M122*(1+'Forecast drivers'!L9))</f>
        <v>0</v>
      </c>
      <c r="O122" s="4">
        <f>(N122*(1+'Forecast drivers'!M9))</f>
        <v>0</v>
      </c>
    </row>
    <row r="123">
      <c r="A123" s="0" t="inlineStr">
        <is>
          <t xml:space="preserve">Travel and events</t>
        </is>
      </c>
      <c r="B123" s="0" t="inlineStr">
        <is>
          <t xml:space="preserve">United States</t>
        </is>
      </c>
      <c r="C123" s="0" t="inlineStr">
        <is>
          <t xml:space="preserve">Sales</t>
        </is>
      </c>
      <c r="D123" s="8">
        <f>SUMIFS('ledger'!$F$2:$F$745,'ledger'!$C$2:$C$745,"=us",'ledger'!$D$2:$D$745,"=sales",'ledger'!$E$2:$E$745,"=travel",'ledger'!$G$2:$G$745,"jan26")</f>
        <v>-35437</v>
      </c>
      <c r="E123" s="8">
        <f>SUMIFS('ledger'!$F$2:$F$745,'ledger'!$C$2:$C$745,"=us",'ledger'!$D$2:$D$745,"=sales",'ledger'!$E$2:$E$745,"=travel",'ledger'!$G$2:$G$745,"feb26")</f>
        <v>-39720</v>
      </c>
      <c r="F123" s="8">
        <f>SUMIFS('ledger'!$F$2:$F$745,'ledger'!$C$2:$C$745,"=us",'ledger'!$D$2:$D$745,"=sales",'ledger'!$E$2:$E$745,"=travel",'ledger'!$G$2:$G$745,"mar26")</f>
        <v>-43455</v>
      </c>
      <c r="G123" s="8">
        <f>SUMIFS('ledger'!$F$2:$F$745,'ledger'!$C$2:$C$745,"=us",'ledger'!$D$2:$D$745,"=sales",'ledger'!$E$2:$E$745,"=travel",'ledger'!$G$2:$G$745,"apr26")</f>
        <v>-39333</v>
      </c>
      <c r="H123" s="8">
        <f>SUMIFS('ledger'!$F$2:$F$745,'ledger'!$C$2:$C$745,"=us",'ledger'!$D$2:$D$745,"=sales",'ledger'!$E$2:$E$745,"=travel",'ledger'!$G$2:$G$745,"may26")</f>
        <v>-38003</v>
      </c>
      <c r="I123" s="8">
        <f>SUMIFS('ledger'!$F$2:$F$745,'ledger'!$C$2:$C$745,"=us",'ledger'!$D$2:$D$745,"=sales",'ledger'!$E$2:$E$745,"=travel",'ledger'!$G$2:$G$745,"jun26")</f>
        <v>-38349</v>
      </c>
      <c r="J123" s="8">
        <f>SUMIFS('ledger'!$F$2:$F$745,'ledger'!$C$2:$C$745,"=us",'ledger'!$D$2:$D$745,"=sales",'ledger'!$E$2:$E$745,"=travel",'ledger'!$G$2:$G$745,"jul26")</f>
        <v>-40348</v>
      </c>
      <c r="K123" s="8">
        <f>SUMIFS('ledger'!$F$2:$F$745,'ledger'!$C$2:$C$745,"=us",'ledger'!$D$2:$D$745,"=sales",'ledger'!$E$2:$E$745,"=travel",'ledger'!$G$2:$G$745,"aug26")</f>
        <v>-38613</v>
      </c>
      <c r="L123" s="8">
        <f>(K123*(1+'Forecast drivers'!J9))</f>
        <v>-38844.678</v>
      </c>
      <c r="M123" s="8">
        <f>(L123*(1+'Forecast drivers'!K9))</f>
        <v>-39077.746068</v>
      </c>
      <c r="N123" s="8">
        <f>(M123*(1+'Forecast drivers'!L9))</f>
        <v>-39312.212544408</v>
      </c>
      <c r="O123" s="8">
        <f>(N123*(1+'Forecast drivers'!M9))</f>
        <v>-39548.08581967445</v>
      </c>
    </row>
    <row r="124">
      <c r="A124" s="0" t="inlineStr">
        <is>
          <t xml:space="preserve">Travel and events</t>
        </is>
      </c>
      <c r="B124" s="0" t="inlineStr">
        <is>
          <t xml:space="preserve">United States</t>
        </is>
      </c>
      <c r="C124" s="0" t="inlineStr">
        <is>
          <t xml:space="preserve">Marketing</t>
        </is>
      </c>
      <c r="D124" s="8">
        <f>SUMIFS('ledger'!$F$2:$F$745,'ledger'!$C$2:$C$745,"=us",'ledger'!$D$2:$D$745,"=marketing",'ledger'!$E$2:$E$745,"=travel",'ledger'!$G$2:$G$745,"jan26")</f>
        <v>-12409</v>
      </c>
      <c r="E124" s="8">
        <f>SUMIFS('ledger'!$F$2:$F$745,'ledger'!$C$2:$C$745,"=us",'ledger'!$D$2:$D$745,"=marketing",'ledger'!$E$2:$E$745,"=travel",'ledger'!$G$2:$G$745,"feb26")</f>
        <v>-11755</v>
      </c>
      <c r="F124" s="8">
        <f>SUMIFS('ledger'!$F$2:$F$745,'ledger'!$C$2:$C$745,"=us",'ledger'!$D$2:$D$745,"=marketing",'ledger'!$E$2:$E$745,"=travel",'ledger'!$G$2:$G$745,"mar26")</f>
        <v>-11814</v>
      </c>
      <c r="G124" s="8">
        <f>SUMIFS('ledger'!$F$2:$F$745,'ledger'!$C$2:$C$745,"=us",'ledger'!$D$2:$D$745,"=marketing",'ledger'!$E$2:$E$745,"=travel",'ledger'!$G$2:$G$745,"apr26")</f>
        <v>-12301</v>
      </c>
      <c r="H124" s="8">
        <f>SUMIFS('ledger'!$F$2:$F$745,'ledger'!$C$2:$C$745,"=us",'ledger'!$D$2:$D$745,"=marketing",'ledger'!$E$2:$E$745,"=travel",'ledger'!$G$2:$G$745,"may26")</f>
        <v>-11865</v>
      </c>
      <c r="I124" s="8">
        <f>SUMIFS('ledger'!$F$2:$F$745,'ledger'!$C$2:$C$745,"=us",'ledger'!$D$2:$D$745,"=marketing",'ledger'!$E$2:$E$745,"=travel",'ledger'!$G$2:$G$745,"jun26")</f>
        <v>-12636</v>
      </c>
      <c r="J124" s="8">
        <f>SUMIFS('ledger'!$F$2:$F$745,'ledger'!$C$2:$C$745,"=us",'ledger'!$D$2:$D$745,"=marketing",'ledger'!$E$2:$E$745,"=travel",'ledger'!$G$2:$G$745,"jul26")</f>
        <v>-11908</v>
      </c>
      <c r="K124" s="8">
        <f>SUMIFS('ledger'!$F$2:$F$745,'ledger'!$C$2:$C$745,"=us",'ledger'!$D$2:$D$745,"=marketing",'ledger'!$E$2:$E$745,"=travel",'ledger'!$G$2:$G$745,"aug26")</f>
        <v>-11756</v>
      </c>
      <c r="L124" s="8">
        <f>(K124*(1+'Forecast drivers'!J9))</f>
        <v>-11826.536</v>
      </c>
      <c r="M124" s="8">
        <f>(L124*(1+'Forecast drivers'!K9))</f>
        <v>-11897.495216</v>
      </c>
      <c r="N124" s="8">
        <f>(M124*(1+'Forecast drivers'!L9))</f>
        <v>-11968.880187296</v>
      </c>
      <c r="O124" s="8">
        <f>(N124*(1+'Forecast drivers'!M9))</f>
        <v>-12040.693468419775</v>
      </c>
    </row>
    <row r="125">
      <c r="A125" s="0" t="inlineStr">
        <is>
          <t xml:space="preserve">Travel and events</t>
        </is>
      </c>
      <c r="B125" s="0" t="inlineStr">
        <is>
          <t xml:space="preserve">United States</t>
        </is>
      </c>
      <c r="C125" s="0" t="inlineStr">
        <is>
          <t xml:space="preserve">Engineering</t>
        </is>
      </c>
      <c r="D125" s="4">
        <f>SUMIFS('ledger'!$F$2:$F$745,'ledger'!$C$2:$C$745,"=us",'ledger'!$D$2:$D$745,"=engineering",'ledger'!$E$2:$E$745,"=travel",'ledger'!$G$2:$G$745,"jan26")</f>
        <v>0</v>
      </c>
      <c r="E125" s="4">
        <f>SUMIFS('ledger'!$F$2:$F$745,'ledger'!$C$2:$C$745,"=us",'ledger'!$D$2:$D$745,"=engineering",'ledger'!$E$2:$E$745,"=travel",'ledger'!$G$2:$G$745,"feb26")</f>
        <v>0</v>
      </c>
      <c r="F125" s="4">
        <f>SUMIFS('ledger'!$F$2:$F$745,'ledger'!$C$2:$C$745,"=us",'ledger'!$D$2:$D$745,"=engineering",'ledger'!$E$2:$E$745,"=travel",'ledger'!$G$2:$G$745,"mar26")</f>
        <v>0</v>
      </c>
      <c r="G125" s="4">
        <f>SUMIFS('ledger'!$F$2:$F$745,'ledger'!$C$2:$C$745,"=us",'ledger'!$D$2:$D$745,"=engineering",'ledger'!$E$2:$E$745,"=travel",'ledger'!$G$2:$G$745,"apr26")</f>
        <v>0</v>
      </c>
      <c r="H125" s="4">
        <f>SUMIFS('ledger'!$F$2:$F$745,'ledger'!$C$2:$C$745,"=us",'ledger'!$D$2:$D$745,"=engineering",'ledger'!$E$2:$E$745,"=travel",'ledger'!$G$2:$G$745,"may26")</f>
        <v>0</v>
      </c>
      <c r="I125" s="4">
        <f>SUMIFS('ledger'!$F$2:$F$745,'ledger'!$C$2:$C$745,"=us",'ledger'!$D$2:$D$745,"=engineering",'ledger'!$E$2:$E$745,"=travel",'ledger'!$G$2:$G$745,"jun26")</f>
        <v>0</v>
      </c>
      <c r="J125" s="4">
        <f>SUMIFS('ledger'!$F$2:$F$745,'ledger'!$C$2:$C$745,"=us",'ledger'!$D$2:$D$745,"=engineering",'ledger'!$E$2:$E$745,"=travel",'ledger'!$G$2:$G$745,"jul26")</f>
        <v>0</v>
      </c>
      <c r="K125" s="4">
        <f>SUMIFS('ledger'!$F$2:$F$745,'ledger'!$C$2:$C$745,"=us",'ledger'!$D$2:$D$745,"=engineering",'ledger'!$E$2:$E$745,"=travel",'ledger'!$G$2:$G$745,"aug26")</f>
        <v>0</v>
      </c>
      <c r="L125" s="4">
        <f>(K125*(1+'Forecast drivers'!J9))</f>
        <v>0</v>
      </c>
      <c r="M125" s="4">
        <f>(L125*(1+'Forecast drivers'!K9))</f>
        <v>0</v>
      </c>
      <c r="N125" s="4">
        <f>(M125*(1+'Forecast drivers'!L9))</f>
        <v>0</v>
      </c>
      <c r="O125" s="4">
        <f>(N125*(1+'Forecast drivers'!M9))</f>
        <v>0</v>
      </c>
    </row>
    <row r="126">
      <c r="A126" s="0" t="inlineStr">
        <is>
          <t xml:space="preserve">Travel and events</t>
        </is>
      </c>
      <c r="B126" s="0" t="inlineStr">
        <is>
          <t xml:space="preserve">United States</t>
        </is>
      </c>
      <c r="C126" s="0" t="inlineStr">
        <is>
          <t xml:space="preserve">Customer success</t>
        </is>
      </c>
      <c r="D126" s="8">
        <f>SUMIFS('ledger'!$F$2:$F$745,'ledger'!$C$2:$C$745,"=us",'ledger'!$D$2:$D$745,"=customer_success",'ledger'!$E$2:$E$745,"=travel",'ledger'!$G$2:$G$745,"jan26")</f>
        <v>-3852</v>
      </c>
      <c r="E126" s="8">
        <f>SUMIFS('ledger'!$F$2:$F$745,'ledger'!$C$2:$C$745,"=us",'ledger'!$D$2:$D$745,"=customer_success",'ledger'!$E$2:$E$745,"=travel",'ledger'!$G$2:$G$745,"feb26")</f>
        <v>-4294</v>
      </c>
      <c r="F126" s="8">
        <f>SUMIFS('ledger'!$F$2:$F$745,'ledger'!$C$2:$C$745,"=us",'ledger'!$D$2:$D$745,"=customer_success",'ledger'!$E$2:$E$745,"=travel",'ledger'!$G$2:$G$745,"mar26")</f>
        <v>-4191</v>
      </c>
      <c r="G126" s="8">
        <f>SUMIFS('ledger'!$F$2:$F$745,'ledger'!$C$2:$C$745,"=us",'ledger'!$D$2:$D$745,"=customer_success",'ledger'!$E$2:$E$745,"=travel",'ledger'!$G$2:$G$745,"apr26")</f>
        <v>-3977</v>
      </c>
      <c r="H126" s="8">
        <f>SUMIFS('ledger'!$F$2:$F$745,'ledger'!$C$2:$C$745,"=us",'ledger'!$D$2:$D$745,"=customer_success",'ledger'!$E$2:$E$745,"=travel",'ledger'!$G$2:$G$745,"may26")</f>
        <v>-4306</v>
      </c>
      <c r="I126" s="8">
        <f>SUMIFS('ledger'!$F$2:$F$745,'ledger'!$C$2:$C$745,"=us",'ledger'!$D$2:$D$745,"=customer_success",'ledger'!$E$2:$E$745,"=travel",'ledger'!$G$2:$G$745,"jun26")</f>
        <v>-4341</v>
      </c>
      <c r="J126" s="8">
        <f>SUMIFS('ledger'!$F$2:$F$745,'ledger'!$C$2:$C$745,"=us",'ledger'!$D$2:$D$745,"=customer_success",'ledger'!$E$2:$E$745,"=travel",'ledger'!$G$2:$G$745,"jul26")</f>
        <v>-4266</v>
      </c>
      <c r="K126" s="8">
        <f>SUMIFS('ledger'!$F$2:$F$745,'ledger'!$C$2:$C$745,"=us",'ledger'!$D$2:$D$745,"=customer_success",'ledger'!$E$2:$E$745,"=travel",'ledger'!$G$2:$G$745,"aug26")</f>
        <v>-4049</v>
      </c>
      <c r="L126" s="8">
        <f>(K126*(1+'Forecast drivers'!J9))</f>
        <v>-4073.294</v>
      </c>
      <c r="M126" s="8">
        <f>(L126*(1+'Forecast drivers'!K9))</f>
        <v>-4097.733764</v>
      </c>
      <c r="N126" s="8">
        <f>(M126*(1+'Forecast drivers'!L9))</f>
        <v>-4122.320166584</v>
      </c>
      <c r="O126" s="8">
        <f>(N126*(1+'Forecast drivers'!M9))</f>
        <v>-4147.054087583504</v>
      </c>
    </row>
    <row r="127">
      <c r="A127" s="0" t="inlineStr">
        <is>
          <t xml:space="preserve">Travel and events</t>
        </is>
      </c>
      <c r="B127" s="0" t="inlineStr">
        <is>
          <t xml:space="preserve">United States</t>
        </is>
      </c>
      <c r="C127" s="0" t="inlineStr">
        <is>
          <t xml:space="preserve">G&amp;A</t>
        </is>
      </c>
      <c r="D127" s="8">
        <f>SUMIFS('ledger'!$F$2:$F$745,'ledger'!$C$2:$C$745,"=us",'ledger'!$D$2:$D$745,"=g_and_a",'ledger'!$E$2:$E$745,"=travel",'ledger'!$G$2:$G$745,"jan26")</f>
        <v>-5994</v>
      </c>
      <c r="E127" s="8">
        <f>SUMIFS('ledger'!$F$2:$F$745,'ledger'!$C$2:$C$745,"=us",'ledger'!$D$2:$D$745,"=g_and_a",'ledger'!$E$2:$E$745,"=travel",'ledger'!$G$2:$G$745,"feb26")</f>
        <v>-6228</v>
      </c>
      <c r="F127" s="8">
        <f>SUMIFS('ledger'!$F$2:$F$745,'ledger'!$C$2:$C$745,"=us",'ledger'!$D$2:$D$745,"=g_and_a",'ledger'!$E$2:$E$745,"=travel",'ledger'!$G$2:$G$745,"mar26")</f>
        <v>-6403</v>
      </c>
      <c r="G127" s="8">
        <f>SUMIFS('ledger'!$F$2:$F$745,'ledger'!$C$2:$C$745,"=us",'ledger'!$D$2:$D$745,"=g_and_a",'ledger'!$E$2:$E$745,"=travel",'ledger'!$G$2:$G$745,"apr26")</f>
        <v>-5917</v>
      </c>
      <c r="H127" s="8">
        <f>SUMIFS('ledger'!$F$2:$F$745,'ledger'!$C$2:$C$745,"=us",'ledger'!$D$2:$D$745,"=g_and_a",'ledger'!$E$2:$E$745,"=travel",'ledger'!$G$2:$G$745,"may26")</f>
        <v>-5788</v>
      </c>
      <c r="I127" s="8">
        <f>SUMIFS('ledger'!$F$2:$F$745,'ledger'!$C$2:$C$745,"=us",'ledger'!$D$2:$D$745,"=g_and_a",'ledger'!$E$2:$E$745,"=travel",'ledger'!$G$2:$G$745,"jun26")</f>
        <v>-5890</v>
      </c>
      <c r="J127" s="8">
        <f>SUMIFS('ledger'!$F$2:$F$745,'ledger'!$C$2:$C$745,"=us",'ledger'!$D$2:$D$745,"=g_and_a",'ledger'!$E$2:$E$745,"=travel",'ledger'!$G$2:$G$745,"jul26")</f>
        <v>-6391</v>
      </c>
      <c r="K127" s="8">
        <f>SUMIFS('ledger'!$F$2:$F$745,'ledger'!$C$2:$C$745,"=us",'ledger'!$D$2:$D$745,"=g_and_a",'ledger'!$E$2:$E$745,"=travel",'ledger'!$G$2:$G$745,"aug26")</f>
        <v>-5904</v>
      </c>
      <c r="L127" s="8">
        <f>(K127*(1+'Forecast drivers'!J9))</f>
        <v>-5939.424</v>
      </c>
      <c r="M127" s="8">
        <f>(L127*(1+'Forecast drivers'!K9))</f>
        <v>-5975.060544</v>
      </c>
      <c r="N127" s="8">
        <f>(M127*(1+'Forecast drivers'!L9))</f>
        <v>-6010.910907264</v>
      </c>
      <c r="O127" s="8">
        <f>(N127*(1+'Forecast drivers'!M9))</f>
        <v>-6046.976372707584</v>
      </c>
    </row>
    <row r="128">
      <c r="A128" s="0" t="inlineStr">
        <is>
          <t xml:space="preserve">Travel and events</t>
        </is>
      </c>
      <c r="B128" s="0" t="inlineStr">
        <is>
          <t xml:space="preserve">United Kingdom</t>
        </is>
      </c>
      <c r="C128" s="0" t="inlineStr">
        <is>
          <t xml:space="preserve">Company (revenue and cost of revenue)</t>
        </is>
      </c>
      <c r="D128" s="4">
        <f>SUMIFS('ledger'!$F$2:$F$745,'ledger'!$C$2:$C$745,"=uk",'ledger'!$D$2:$D$745,"=company",'ledger'!$E$2:$E$745,"=travel",'ledger'!$G$2:$G$745,"jan26")</f>
        <v>0</v>
      </c>
      <c r="E128" s="4">
        <f>SUMIFS('ledger'!$F$2:$F$745,'ledger'!$C$2:$C$745,"=uk",'ledger'!$D$2:$D$745,"=company",'ledger'!$E$2:$E$745,"=travel",'ledger'!$G$2:$G$745,"feb26")</f>
        <v>0</v>
      </c>
      <c r="F128" s="4">
        <f>SUMIFS('ledger'!$F$2:$F$745,'ledger'!$C$2:$C$745,"=uk",'ledger'!$D$2:$D$745,"=company",'ledger'!$E$2:$E$745,"=travel",'ledger'!$G$2:$G$745,"mar26")</f>
        <v>0</v>
      </c>
      <c r="G128" s="4">
        <f>SUMIFS('ledger'!$F$2:$F$745,'ledger'!$C$2:$C$745,"=uk",'ledger'!$D$2:$D$745,"=company",'ledger'!$E$2:$E$745,"=travel",'ledger'!$G$2:$G$745,"apr26")</f>
        <v>0</v>
      </c>
      <c r="H128" s="4">
        <f>SUMIFS('ledger'!$F$2:$F$745,'ledger'!$C$2:$C$745,"=uk",'ledger'!$D$2:$D$745,"=company",'ledger'!$E$2:$E$745,"=travel",'ledger'!$G$2:$G$745,"may26")</f>
        <v>0</v>
      </c>
      <c r="I128" s="4">
        <f>SUMIFS('ledger'!$F$2:$F$745,'ledger'!$C$2:$C$745,"=uk",'ledger'!$D$2:$D$745,"=company",'ledger'!$E$2:$E$745,"=travel",'ledger'!$G$2:$G$745,"jun26")</f>
        <v>0</v>
      </c>
      <c r="J128" s="4">
        <f>SUMIFS('ledger'!$F$2:$F$745,'ledger'!$C$2:$C$745,"=uk",'ledger'!$D$2:$D$745,"=company",'ledger'!$E$2:$E$745,"=travel",'ledger'!$G$2:$G$745,"jul26")</f>
        <v>0</v>
      </c>
      <c r="K128" s="4">
        <f>SUMIFS('ledger'!$F$2:$F$745,'ledger'!$C$2:$C$745,"=uk",'ledger'!$D$2:$D$745,"=company",'ledger'!$E$2:$E$745,"=travel",'ledger'!$G$2:$G$745,"aug26")</f>
        <v>0</v>
      </c>
      <c r="L128" s="4">
        <f>(K128*(1+'Forecast drivers'!J9))</f>
        <v>0</v>
      </c>
      <c r="M128" s="4">
        <f>(L128*(1+'Forecast drivers'!K9))</f>
        <v>0</v>
      </c>
      <c r="N128" s="4">
        <f>(M128*(1+'Forecast drivers'!L9))</f>
        <v>0</v>
      </c>
      <c r="O128" s="4">
        <f>(N128*(1+'Forecast drivers'!M9))</f>
        <v>0</v>
      </c>
    </row>
    <row r="129">
      <c r="A129" s="0" t="inlineStr">
        <is>
          <t xml:space="preserve">Travel and events</t>
        </is>
      </c>
      <c r="B129" s="0" t="inlineStr">
        <is>
          <t xml:space="preserve">United Kingdom</t>
        </is>
      </c>
      <c r="C129" s="0" t="inlineStr">
        <is>
          <t xml:space="preserve">Sales</t>
        </is>
      </c>
      <c r="D129" s="8">
        <f>SUMIFS('ledger'!$F$2:$F$745,'ledger'!$C$2:$C$745,"=uk",'ledger'!$D$2:$D$745,"=sales",'ledger'!$E$2:$E$745,"=travel",'ledger'!$G$2:$G$745,"jan26")</f>
        <v>-15261</v>
      </c>
      <c r="E129" s="8">
        <f>SUMIFS('ledger'!$F$2:$F$745,'ledger'!$C$2:$C$745,"=uk",'ledger'!$D$2:$D$745,"=sales",'ledger'!$E$2:$E$745,"=travel",'ledger'!$G$2:$G$745,"feb26")</f>
        <v>-16560</v>
      </c>
      <c r="F129" s="8">
        <f>SUMIFS('ledger'!$F$2:$F$745,'ledger'!$C$2:$C$745,"=uk",'ledger'!$D$2:$D$745,"=sales",'ledger'!$E$2:$E$745,"=travel",'ledger'!$G$2:$G$745,"mar26")</f>
        <v>-17768</v>
      </c>
      <c r="G129" s="8">
        <f>SUMIFS('ledger'!$F$2:$F$745,'ledger'!$C$2:$C$745,"=uk",'ledger'!$D$2:$D$745,"=sales",'ledger'!$E$2:$E$745,"=travel",'ledger'!$G$2:$G$745,"apr26")</f>
        <v>-16862</v>
      </c>
      <c r="H129" s="8">
        <f>SUMIFS('ledger'!$F$2:$F$745,'ledger'!$C$2:$C$745,"=uk",'ledger'!$D$2:$D$745,"=sales",'ledger'!$E$2:$E$745,"=travel",'ledger'!$G$2:$G$745,"may26")</f>
        <v>-17124</v>
      </c>
      <c r="I129" s="8">
        <f>SUMIFS('ledger'!$F$2:$F$745,'ledger'!$C$2:$C$745,"=uk",'ledger'!$D$2:$D$745,"=sales",'ledger'!$E$2:$E$745,"=travel",'ledger'!$G$2:$G$745,"jun26")</f>
        <v>-16095</v>
      </c>
      <c r="J129" s="8">
        <f>SUMIFS('ledger'!$F$2:$F$745,'ledger'!$C$2:$C$745,"=uk",'ledger'!$D$2:$D$745,"=sales",'ledger'!$E$2:$E$745,"=travel",'ledger'!$G$2:$G$745,"jul26")</f>
        <v>-16445</v>
      </c>
      <c r="K129" s="8">
        <f>SUMIFS('ledger'!$F$2:$F$745,'ledger'!$C$2:$C$745,"=uk",'ledger'!$D$2:$D$745,"=sales",'ledger'!$E$2:$E$745,"=travel",'ledger'!$G$2:$G$745,"aug26")</f>
        <v>-17811</v>
      </c>
      <c r="L129" s="8">
        <f>(K129*(1+'Forecast drivers'!J9))</f>
        <v>-17917.866</v>
      </c>
      <c r="M129" s="8">
        <f>(L129*(1+'Forecast drivers'!K9))</f>
        <v>-18025.373196</v>
      </c>
      <c r="N129" s="8">
        <f>(M129*(1+'Forecast drivers'!L9))</f>
        <v>-18133.525435176</v>
      </c>
      <c r="O129" s="8">
        <f>(N129*(1+'Forecast drivers'!M9))</f>
        <v>-18242.326587787058</v>
      </c>
    </row>
    <row r="130">
      <c r="A130" s="0" t="inlineStr">
        <is>
          <t xml:space="preserve">Travel and events</t>
        </is>
      </c>
      <c r="B130" s="0" t="inlineStr">
        <is>
          <t xml:space="preserve">United Kingdom</t>
        </is>
      </c>
      <c r="C130" s="0" t="inlineStr">
        <is>
          <t xml:space="preserve">Marketing</t>
        </is>
      </c>
      <c r="D130" s="8">
        <f>SUMIFS('ledger'!$F$2:$F$745,'ledger'!$C$2:$C$745,"=uk",'ledger'!$D$2:$D$745,"=marketing",'ledger'!$E$2:$E$745,"=travel",'ledger'!$G$2:$G$745,"jan26")</f>
        <v>-4927</v>
      </c>
      <c r="E130" s="8">
        <f>SUMIFS('ledger'!$F$2:$F$745,'ledger'!$C$2:$C$745,"=uk",'ledger'!$D$2:$D$745,"=marketing",'ledger'!$E$2:$E$745,"=travel",'ledger'!$G$2:$G$745,"feb26")</f>
        <v>-5067</v>
      </c>
      <c r="F130" s="8">
        <f>SUMIFS('ledger'!$F$2:$F$745,'ledger'!$C$2:$C$745,"=uk",'ledger'!$D$2:$D$745,"=marketing",'ledger'!$E$2:$E$745,"=travel",'ledger'!$G$2:$G$745,"mar26")</f>
        <v>-5245</v>
      </c>
      <c r="G130" s="8">
        <f>SUMIFS('ledger'!$F$2:$F$745,'ledger'!$C$2:$C$745,"=uk",'ledger'!$D$2:$D$745,"=marketing",'ledger'!$E$2:$E$745,"=travel",'ledger'!$G$2:$G$745,"apr26")</f>
        <v>-5066</v>
      </c>
      <c r="H130" s="8">
        <f>SUMIFS('ledger'!$F$2:$F$745,'ledger'!$C$2:$C$745,"=uk",'ledger'!$D$2:$D$745,"=marketing",'ledger'!$E$2:$E$745,"=travel",'ledger'!$G$2:$G$745,"may26")</f>
        <v>-5250</v>
      </c>
      <c r="I130" s="8">
        <f>SUMIFS('ledger'!$F$2:$F$745,'ledger'!$C$2:$C$745,"=uk",'ledger'!$D$2:$D$745,"=marketing",'ledger'!$E$2:$E$745,"=travel",'ledger'!$G$2:$G$745,"jun26")</f>
        <v>-5466</v>
      </c>
      <c r="J130" s="8">
        <f>SUMIFS('ledger'!$F$2:$F$745,'ledger'!$C$2:$C$745,"=uk",'ledger'!$D$2:$D$745,"=marketing",'ledger'!$E$2:$E$745,"=travel",'ledger'!$G$2:$G$745,"jul26")</f>
        <v>-4885</v>
      </c>
      <c r="K130" s="8">
        <f>SUMIFS('ledger'!$F$2:$F$745,'ledger'!$C$2:$C$745,"=uk",'ledger'!$D$2:$D$745,"=marketing",'ledger'!$E$2:$E$745,"=travel",'ledger'!$G$2:$G$745,"aug26")</f>
        <v>-5209</v>
      </c>
      <c r="L130" s="8">
        <f>(K130*(1+'Forecast drivers'!J9))</f>
        <v>-5240.254</v>
      </c>
      <c r="M130" s="8">
        <f>(L130*(1+'Forecast drivers'!K9))</f>
        <v>-5271.695524</v>
      </c>
      <c r="N130" s="8">
        <f>(M130*(1+'Forecast drivers'!L9))</f>
        <v>-5303.325697144</v>
      </c>
      <c r="O130" s="8">
        <f>(N130*(1+'Forecast drivers'!M9))</f>
        <v>-5335.145651326864</v>
      </c>
    </row>
    <row r="131">
      <c r="A131" s="0" t="inlineStr">
        <is>
          <t xml:space="preserve">Travel and events</t>
        </is>
      </c>
      <c r="B131" s="0" t="inlineStr">
        <is>
          <t xml:space="preserve">United Kingdom</t>
        </is>
      </c>
      <c r="C131" s="0" t="inlineStr">
        <is>
          <t xml:space="preserve">Engineering</t>
        </is>
      </c>
      <c r="D131" s="4">
        <f>SUMIFS('ledger'!$F$2:$F$745,'ledger'!$C$2:$C$745,"=uk",'ledger'!$D$2:$D$745,"=engineering",'ledger'!$E$2:$E$745,"=travel",'ledger'!$G$2:$G$745,"jan26")</f>
        <v>0</v>
      </c>
      <c r="E131" s="4">
        <f>SUMIFS('ledger'!$F$2:$F$745,'ledger'!$C$2:$C$745,"=uk",'ledger'!$D$2:$D$745,"=engineering",'ledger'!$E$2:$E$745,"=travel",'ledger'!$G$2:$G$745,"feb26")</f>
        <v>0</v>
      </c>
      <c r="F131" s="4">
        <f>SUMIFS('ledger'!$F$2:$F$745,'ledger'!$C$2:$C$745,"=uk",'ledger'!$D$2:$D$745,"=engineering",'ledger'!$E$2:$E$745,"=travel",'ledger'!$G$2:$G$745,"mar26")</f>
        <v>0</v>
      </c>
      <c r="G131" s="4">
        <f>SUMIFS('ledger'!$F$2:$F$745,'ledger'!$C$2:$C$745,"=uk",'ledger'!$D$2:$D$745,"=engineering",'ledger'!$E$2:$E$745,"=travel",'ledger'!$G$2:$G$745,"apr26")</f>
        <v>0</v>
      </c>
      <c r="H131" s="4">
        <f>SUMIFS('ledger'!$F$2:$F$745,'ledger'!$C$2:$C$745,"=uk",'ledger'!$D$2:$D$745,"=engineering",'ledger'!$E$2:$E$745,"=travel",'ledger'!$G$2:$G$745,"may26")</f>
        <v>0</v>
      </c>
      <c r="I131" s="4">
        <f>SUMIFS('ledger'!$F$2:$F$745,'ledger'!$C$2:$C$745,"=uk",'ledger'!$D$2:$D$745,"=engineering",'ledger'!$E$2:$E$745,"=travel",'ledger'!$G$2:$G$745,"jun26")</f>
        <v>0</v>
      </c>
      <c r="J131" s="4">
        <f>SUMIFS('ledger'!$F$2:$F$745,'ledger'!$C$2:$C$745,"=uk",'ledger'!$D$2:$D$745,"=engineering",'ledger'!$E$2:$E$745,"=travel",'ledger'!$G$2:$G$745,"jul26")</f>
        <v>0</v>
      </c>
      <c r="K131" s="4">
        <f>SUMIFS('ledger'!$F$2:$F$745,'ledger'!$C$2:$C$745,"=uk",'ledger'!$D$2:$D$745,"=engineering",'ledger'!$E$2:$E$745,"=travel",'ledger'!$G$2:$G$745,"aug26")</f>
        <v>0</v>
      </c>
      <c r="L131" s="4">
        <f>(K131*(1+'Forecast drivers'!J9))</f>
        <v>0</v>
      </c>
      <c r="M131" s="4">
        <f>(L131*(1+'Forecast drivers'!K9))</f>
        <v>0</v>
      </c>
      <c r="N131" s="4">
        <f>(M131*(1+'Forecast drivers'!L9))</f>
        <v>0</v>
      </c>
      <c r="O131" s="4">
        <f>(N131*(1+'Forecast drivers'!M9))</f>
        <v>0</v>
      </c>
    </row>
    <row r="132">
      <c r="A132" s="0" t="inlineStr">
        <is>
          <t xml:space="preserve">Travel and events</t>
        </is>
      </c>
      <c r="B132" s="0" t="inlineStr">
        <is>
          <t xml:space="preserve">United Kingdom</t>
        </is>
      </c>
      <c r="C132" s="0" t="inlineStr">
        <is>
          <t xml:space="preserve">Customer success</t>
        </is>
      </c>
      <c r="D132" s="8">
        <f>SUMIFS('ledger'!$F$2:$F$745,'ledger'!$C$2:$C$745,"=uk",'ledger'!$D$2:$D$745,"=customer_success",'ledger'!$E$2:$E$745,"=travel",'ledger'!$G$2:$G$745,"jan26")</f>
        <v>-1698</v>
      </c>
      <c r="E132" s="8">
        <f>SUMIFS('ledger'!$F$2:$F$745,'ledger'!$C$2:$C$745,"=uk",'ledger'!$D$2:$D$745,"=customer_success",'ledger'!$E$2:$E$745,"=travel",'ledger'!$G$2:$G$745,"feb26")</f>
        <v>-1623</v>
      </c>
      <c r="F132" s="8">
        <f>SUMIFS('ledger'!$F$2:$F$745,'ledger'!$C$2:$C$745,"=uk",'ledger'!$D$2:$D$745,"=customer_success",'ledger'!$E$2:$E$745,"=travel",'ledger'!$G$2:$G$745,"mar26")</f>
        <v>-1688</v>
      </c>
      <c r="G132" s="8">
        <f>SUMIFS('ledger'!$F$2:$F$745,'ledger'!$C$2:$C$745,"=uk",'ledger'!$D$2:$D$745,"=customer_success",'ledger'!$E$2:$E$745,"=travel",'ledger'!$G$2:$G$745,"apr26")</f>
        <v>-1767</v>
      </c>
      <c r="H132" s="8">
        <f>SUMIFS('ledger'!$F$2:$F$745,'ledger'!$C$2:$C$745,"=uk",'ledger'!$D$2:$D$745,"=customer_success",'ledger'!$E$2:$E$745,"=travel",'ledger'!$G$2:$G$745,"may26")</f>
        <v>-1702</v>
      </c>
      <c r="I132" s="8">
        <f>SUMIFS('ledger'!$F$2:$F$745,'ledger'!$C$2:$C$745,"=uk",'ledger'!$D$2:$D$745,"=customer_success",'ledger'!$E$2:$E$745,"=travel",'ledger'!$G$2:$G$745,"jun26")</f>
        <v>-1716</v>
      </c>
      <c r="J132" s="8">
        <f>SUMIFS('ledger'!$F$2:$F$745,'ledger'!$C$2:$C$745,"=uk",'ledger'!$D$2:$D$745,"=customer_success",'ledger'!$E$2:$E$745,"=travel",'ledger'!$G$2:$G$745,"jul26")</f>
        <v>-1593</v>
      </c>
      <c r="K132" s="8">
        <f>SUMIFS('ledger'!$F$2:$F$745,'ledger'!$C$2:$C$745,"=uk",'ledger'!$D$2:$D$745,"=customer_success",'ledger'!$E$2:$E$745,"=travel",'ledger'!$G$2:$G$745,"aug26")</f>
        <v>-1696</v>
      </c>
      <c r="L132" s="8">
        <f>(K132*(1+'Forecast drivers'!J9))</f>
        <v>-1706.176</v>
      </c>
      <c r="M132" s="8">
        <f>(L132*(1+'Forecast drivers'!K9))</f>
        <v>-1716.4130559999999</v>
      </c>
      <c r="N132" s="8">
        <f>(M132*(1+'Forecast drivers'!L9))</f>
        <v>-1726.7115343359999</v>
      </c>
      <c r="O132" s="8">
        <f>(N132*(1+'Forecast drivers'!M9))</f>
        <v>-1737.071803542016</v>
      </c>
    </row>
    <row r="133">
      <c r="A133" s="0" t="inlineStr">
        <is>
          <t xml:space="preserve">Travel and events</t>
        </is>
      </c>
      <c r="B133" s="0" t="inlineStr">
        <is>
          <t xml:space="preserve">United Kingdom</t>
        </is>
      </c>
      <c r="C133" s="0" t="inlineStr">
        <is>
          <t xml:space="preserve">G&amp;A</t>
        </is>
      </c>
      <c r="D133" s="8">
        <f>SUMIFS('ledger'!$F$2:$F$745,'ledger'!$C$2:$C$745,"=uk",'ledger'!$D$2:$D$745,"=g_and_a",'ledger'!$E$2:$E$745,"=travel",'ledger'!$G$2:$G$745,"jan26")</f>
        <v>-2705</v>
      </c>
      <c r="E133" s="8">
        <f>SUMIFS('ledger'!$F$2:$F$745,'ledger'!$C$2:$C$745,"=uk",'ledger'!$D$2:$D$745,"=g_and_a",'ledger'!$E$2:$E$745,"=travel",'ledger'!$G$2:$G$745,"feb26")</f>
        <v>-2627</v>
      </c>
      <c r="F133" s="8">
        <f>SUMIFS('ledger'!$F$2:$F$745,'ledger'!$C$2:$C$745,"=uk",'ledger'!$D$2:$D$745,"=g_and_a",'ledger'!$E$2:$E$745,"=travel",'ledger'!$G$2:$G$745,"mar26")</f>
        <v>-2593</v>
      </c>
      <c r="G133" s="8">
        <f>SUMIFS('ledger'!$F$2:$F$745,'ledger'!$C$2:$C$745,"=uk",'ledger'!$D$2:$D$745,"=g_and_a",'ledger'!$E$2:$E$745,"=travel",'ledger'!$G$2:$G$745,"apr26")</f>
        <v>-2773</v>
      </c>
      <c r="H133" s="8">
        <f>SUMIFS('ledger'!$F$2:$F$745,'ledger'!$C$2:$C$745,"=uk",'ledger'!$D$2:$D$745,"=g_and_a",'ledger'!$E$2:$E$745,"=travel",'ledger'!$G$2:$G$745,"may26")</f>
        <v>-2642</v>
      </c>
      <c r="I133" s="8">
        <f>SUMIFS('ledger'!$F$2:$F$745,'ledger'!$C$2:$C$745,"=uk",'ledger'!$D$2:$D$745,"=g_and_a",'ledger'!$E$2:$E$745,"=travel",'ledger'!$G$2:$G$745,"jun26")</f>
        <v>-2729</v>
      </c>
      <c r="J133" s="8">
        <f>SUMIFS('ledger'!$F$2:$F$745,'ledger'!$C$2:$C$745,"=uk",'ledger'!$D$2:$D$745,"=g_and_a",'ledger'!$E$2:$E$745,"=travel",'ledger'!$G$2:$G$745,"jul26")</f>
        <v>-2553</v>
      </c>
      <c r="K133" s="8">
        <f>SUMIFS('ledger'!$F$2:$F$745,'ledger'!$C$2:$C$745,"=uk",'ledger'!$D$2:$D$745,"=g_and_a",'ledger'!$E$2:$E$745,"=travel",'ledger'!$G$2:$G$745,"aug26")</f>
        <v>-2526</v>
      </c>
      <c r="L133" s="8">
        <f>(K133*(1+'Forecast drivers'!J9))</f>
        <v>-2541.156</v>
      </c>
      <c r="M133" s="8">
        <f>(L133*(1+'Forecast drivers'!K9))</f>
        <v>-2556.402936</v>
      </c>
      <c r="N133" s="8">
        <f>(M133*(1+'Forecast drivers'!L9))</f>
        <v>-2571.7413536159997</v>
      </c>
      <c r="O133" s="8">
        <f>(N133*(1+'Forecast drivers'!M9))</f>
        <v>-2587.1718017376957</v>
      </c>
    </row>
    <row r="134">
      <c r="A134" s="0" t="inlineStr">
        <is>
          <t xml:space="preserve">Rent and facilities</t>
        </is>
      </c>
      <c r="B134" s="0" t="inlineStr">
        <is>
          <t xml:space="preserve">United States</t>
        </is>
      </c>
      <c r="C134" s="0" t="inlineStr">
        <is>
          <t xml:space="preserve">Company (revenue and cost of revenue)</t>
        </is>
      </c>
      <c r="D134" s="4">
        <f>SUMIFS('ledger'!$F$2:$F$745,'ledger'!$C$2:$C$745,"=us",'ledger'!$D$2:$D$745,"=company",'ledger'!$E$2:$E$745,"=rent",'ledger'!$G$2:$G$745,"jan26")</f>
        <v>0</v>
      </c>
      <c r="E134" s="4">
        <f>SUMIFS('ledger'!$F$2:$F$745,'ledger'!$C$2:$C$745,"=us",'ledger'!$D$2:$D$745,"=company",'ledger'!$E$2:$E$745,"=rent",'ledger'!$G$2:$G$745,"feb26")</f>
        <v>0</v>
      </c>
      <c r="F134" s="4">
        <f>SUMIFS('ledger'!$F$2:$F$745,'ledger'!$C$2:$C$745,"=us",'ledger'!$D$2:$D$745,"=company",'ledger'!$E$2:$E$745,"=rent",'ledger'!$G$2:$G$745,"mar26")</f>
        <v>0</v>
      </c>
      <c r="G134" s="4">
        <f>SUMIFS('ledger'!$F$2:$F$745,'ledger'!$C$2:$C$745,"=us",'ledger'!$D$2:$D$745,"=company",'ledger'!$E$2:$E$745,"=rent",'ledger'!$G$2:$G$745,"apr26")</f>
        <v>0</v>
      </c>
      <c r="H134" s="4">
        <f>SUMIFS('ledger'!$F$2:$F$745,'ledger'!$C$2:$C$745,"=us",'ledger'!$D$2:$D$745,"=company",'ledger'!$E$2:$E$745,"=rent",'ledger'!$G$2:$G$745,"may26")</f>
        <v>0</v>
      </c>
      <c r="I134" s="4">
        <f>SUMIFS('ledger'!$F$2:$F$745,'ledger'!$C$2:$C$745,"=us",'ledger'!$D$2:$D$745,"=company",'ledger'!$E$2:$E$745,"=rent",'ledger'!$G$2:$G$745,"jun26")</f>
        <v>0</v>
      </c>
      <c r="J134" s="4">
        <f>SUMIFS('ledger'!$F$2:$F$745,'ledger'!$C$2:$C$745,"=us",'ledger'!$D$2:$D$745,"=company",'ledger'!$E$2:$E$745,"=rent",'ledger'!$G$2:$G$745,"jul26")</f>
        <v>0</v>
      </c>
      <c r="K134" s="4">
        <f>SUMIFS('ledger'!$F$2:$F$745,'ledger'!$C$2:$C$745,"=us",'ledger'!$D$2:$D$745,"=company",'ledger'!$E$2:$E$745,"=rent",'ledger'!$G$2:$G$745,"aug26")</f>
        <v>0</v>
      </c>
      <c r="L134" s="4">
        <f>(K134*(1+'Forecast drivers'!J9))</f>
        <v>0</v>
      </c>
      <c r="M134" s="4">
        <f>(L134*(1+'Forecast drivers'!K9))</f>
        <v>0</v>
      </c>
      <c r="N134" s="4">
        <f>(M134*(1+'Forecast drivers'!L9))</f>
        <v>0</v>
      </c>
      <c r="O134" s="4">
        <f>(N134*(1+'Forecast drivers'!M9))</f>
        <v>0</v>
      </c>
    </row>
    <row r="135">
      <c r="A135" s="0" t="inlineStr">
        <is>
          <t xml:space="preserve">Rent and facilities</t>
        </is>
      </c>
      <c r="B135" s="0" t="inlineStr">
        <is>
          <t xml:space="preserve">United States</t>
        </is>
      </c>
      <c r="C135" s="0" t="inlineStr">
        <is>
          <t xml:space="preserve">Sales</t>
        </is>
      </c>
      <c r="D135" s="4">
        <f>SUMIFS('ledger'!$F$2:$F$745,'ledger'!$C$2:$C$745,"=us",'ledger'!$D$2:$D$745,"=sales",'ledger'!$E$2:$E$745,"=rent",'ledger'!$G$2:$G$745,"jan26")</f>
        <v>0</v>
      </c>
      <c r="E135" s="4">
        <f>SUMIFS('ledger'!$F$2:$F$745,'ledger'!$C$2:$C$745,"=us",'ledger'!$D$2:$D$745,"=sales",'ledger'!$E$2:$E$745,"=rent",'ledger'!$G$2:$G$745,"feb26")</f>
        <v>0</v>
      </c>
      <c r="F135" s="4">
        <f>SUMIFS('ledger'!$F$2:$F$745,'ledger'!$C$2:$C$745,"=us",'ledger'!$D$2:$D$745,"=sales",'ledger'!$E$2:$E$745,"=rent",'ledger'!$G$2:$G$745,"mar26")</f>
        <v>0</v>
      </c>
      <c r="G135" s="4">
        <f>SUMIFS('ledger'!$F$2:$F$745,'ledger'!$C$2:$C$745,"=us",'ledger'!$D$2:$D$745,"=sales",'ledger'!$E$2:$E$745,"=rent",'ledger'!$G$2:$G$745,"apr26")</f>
        <v>0</v>
      </c>
      <c r="H135" s="4">
        <f>SUMIFS('ledger'!$F$2:$F$745,'ledger'!$C$2:$C$745,"=us",'ledger'!$D$2:$D$745,"=sales",'ledger'!$E$2:$E$745,"=rent",'ledger'!$G$2:$G$745,"may26")</f>
        <v>0</v>
      </c>
      <c r="I135" s="4">
        <f>SUMIFS('ledger'!$F$2:$F$745,'ledger'!$C$2:$C$745,"=us",'ledger'!$D$2:$D$745,"=sales",'ledger'!$E$2:$E$745,"=rent",'ledger'!$G$2:$G$745,"jun26")</f>
        <v>0</v>
      </c>
      <c r="J135" s="4">
        <f>SUMIFS('ledger'!$F$2:$F$745,'ledger'!$C$2:$C$745,"=us",'ledger'!$D$2:$D$745,"=sales",'ledger'!$E$2:$E$745,"=rent",'ledger'!$G$2:$G$745,"jul26")</f>
        <v>0</v>
      </c>
      <c r="K135" s="4">
        <f>SUMIFS('ledger'!$F$2:$F$745,'ledger'!$C$2:$C$745,"=us",'ledger'!$D$2:$D$745,"=sales",'ledger'!$E$2:$E$745,"=rent",'ledger'!$G$2:$G$745,"aug26")</f>
        <v>0</v>
      </c>
      <c r="L135" s="4">
        <f>(K135*(1+'Forecast drivers'!J9))</f>
        <v>0</v>
      </c>
      <c r="M135" s="4">
        <f>(L135*(1+'Forecast drivers'!K9))</f>
        <v>0</v>
      </c>
      <c r="N135" s="4">
        <f>(M135*(1+'Forecast drivers'!L9))</f>
        <v>0</v>
      </c>
      <c r="O135" s="4">
        <f>(N135*(1+'Forecast drivers'!M9))</f>
        <v>0</v>
      </c>
    </row>
    <row r="136">
      <c r="A136" s="0" t="inlineStr">
        <is>
          <t xml:space="preserve">Rent and facilities</t>
        </is>
      </c>
      <c r="B136" s="0" t="inlineStr">
        <is>
          <t xml:space="preserve">United States</t>
        </is>
      </c>
      <c r="C136" s="0" t="inlineStr">
        <is>
          <t xml:space="preserve">Marketing</t>
        </is>
      </c>
      <c r="D136" s="4">
        <f>SUMIFS('ledger'!$F$2:$F$745,'ledger'!$C$2:$C$745,"=us",'ledger'!$D$2:$D$745,"=marketing",'ledger'!$E$2:$E$745,"=rent",'ledger'!$G$2:$G$745,"jan26")</f>
        <v>0</v>
      </c>
      <c r="E136" s="4">
        <f>SUMIFS('ledger'!$F$2:$F$745,'ledger'!$C$2:$C$745,"=us",'ledger'!$D$2:$D$745,"=marketing",'ledger'!$E$2:$E$745,"=rent",'ledger'!$G$2:$G$745,"feb26")</f>
        <v>0</v>
      </c>
      <c r="F136" s="4">
        <f>SUMIFS('ledger'!$F$2:$F$745,'ledger'!$C$2:$C$745,"=us",'ledger'!$D$2:$D$745,"=marketing",'ledger'!$E$2:$E$745,"=rent",'ledger'!$G$2:$G$745,"mar26")</f>
        <v>0</v>
      </c>
      <c r="G136" s="4">
        <f>SUMIFS('ledger'!$F$2:$F$745,'ledger'!$C$2:$C$745,"=us",'ledger'!$D$2:$D$745,"=marketing",'ledger'!$E$2:$E$745,"=rent",'ledger'!$G$2:$G$745,"apr26")</f>
        <v>0</v>
      </c>
      <c r="H136" s="4">
        <f>SUMIFS('ledger'!$F$2:$F$745,'ledger'!$C$2:$C$745,"=us",'ledger'!$D$2:$D$745,"=marketing",'ledger'!$E$2:$E$745,"=rent",'ledger'!$G$2:$G$745,"may26")</f>
        <v>0</v>
      </c>
      <c r="I136" s="4">
        <f>SUMIFS('ledger'!$F$2:$F$745,'ledger'!$C$2:$C$745,"=us",'ledger'!$D$2:$D$745,"=marketing",'ledger'!$E$2:$E$745,"=rent",'ledger'!$G$2:$G$745,"jun26")</f>
        <v>0</v>
      </c>
      <c r="J136" s="4">
        <f>SUMIFS('ledger'!$F$2:$F$745,'ledger'!$C$2:$C$745,"=us",'ledger'!$D$2:$D$745,"=marketing",'ledger'!$E$2:$E$745,"=rent",'ledger'!$G$2:$G$745,"jul26")</f>
        <v>0</v>
      </c>
      <c r="K136" s="4">
        <f>SUMIFS('ledger'!$F$2:$F$745,'ledger'!$C$2:$C$745,"=us",'ledger'!$D$2:$D$745,"=marketing",'ledger'!$E$2:$E$745,"=rent",'ledger'!$G$2:$G$745,"aug26")</f>
        <v>0</v>
      </c>
      <c r="L136" s="4">
        <f>(K136*(1+'Forecast drivers'!J9))</f>
        <v>0</v>
      </c>
      <c r="M136" s="4">
        <f>(L136*(1+'Forecast drivers'!K9))</f>
        <v>0</v>
      </c>
      <c r="N136" s="4">
        <f>(M136*(1+'Forecast drivers'!L9))</f>
        <v>0</v>
      </c>
      <c r="O136" s="4">
        <f>(N136*(1+'Forecast drivers'!M9))</f>
        <v>0</v>
      </c>
    </row>
    <row r="137">
      <c r="A137" s="0" t="inlineStr">
        <is>
          <t xml:space="preserve">Rent and facilities</t>
        </is>
      </c>
      <c r="B137" s="0" t="inlineStr">
        <is>
          <t xml:space="preserve">United States</t>
        </is>
      </c>
      <c r="C137" s="0" t="inlineStr">
        <is>
          <t xml:space="preserve">Engineering</t>
        </is>
      </c>
      <c r="D137" s="4">
        <f>SUMIFS('ledger'!$F$2:$F$745,'ledger'!$C$2:$C$745,"=us",'ledger'!$D$2:$D$745,"=engineering",'ledger'!$E$2:$E$745,"=rent",'ledger'!$G$2:$G$745,"jan26")</f>
        <v>0</v>
      </c>
      <c r="E137" s="4">
        <f>SUMIFS('ledger'!$F$2:$F$745,'ledger'!$C$2:$C$745,"=us",'ledger'!$D$2:$D$745,"=engineering",'ledger'!$E$2:$E$745,"=rent",'ledger'!$G$2:$G$745,"feb26")</f>
        <v>0</v>
      </c>
      <c r="F137" s="4">
        <f>SUMIFS('ledger'!$F$2:$F$745,'ledger'!$C$2:$C$745,"=us",'ledger'!$D$2:$D$745,"=engineering",'ledger'!$E$2:$E$745,"=rent",'ledger'!$G$2:$G$745,"mar26")</f>
        <v>0</v>
      </c>
      <c r="G137" s="4">
        <f>SUMIFS('ledger'!$F$2:$F$745,'ledger'!$C$2:$C$745,"=us",'ledger'!$D$2:$D$745,"=engineering",'ledger'!$E$2:$E$745,"=rent",'ledger'!$G$2:$G$745,"apr26")</f>
        <v>0</v>
      </c>
      <c r="H137" s="4">
        <f>SUMIFS('ledger'!$F$2:$F$745,'ledger'!$C$2:$C$745,"=us",'ledger'!$D$2:$D$745,"=engineering",'ledger'!$E$2:$E$745,"=rent",'ledger'!$G$2:$G$745,"may26")</f>
        <v>0</v>
      </c>
      <c r="I137" s="4">
        <f>SUMIFS('ledger'!$F$2:$F$745,'ledger'!$C$2:$C$745,"=us",'ledger'!$D$2:$D$745,"=engineering",'ledger'!$E$2:$E$745,"=rent",'ledger'!$G$2:$G$745,"jun26")</f>
        <v>0</v>
      </c>
      <c r="J137" s="4">
        <f>SUMIFS('ledger'!$F$2:$F$745,'ledger'!$C$2:$C$745,"=us",'ledger'!$D$2:$D$745,"=engineering",'ledger'!$E$2:$E$745,"=rent",'ledger'!$G$2:$G$745,"jul26")</f>
        <v>0</v>
      </c>
      <c r="K137" s="4">
        <f>SUMIFS('ledger'!$F$2:$F$745,'ledger'!$C$2:$C$745,"=us",'ledger'!$D$2:$D$745,"=engineering",'ledger'!$E$2:$E$745,"=rent",'ledger'!$G$2:$G$745,"aug26")</f>
        <v>0</v>
      </c>
      <c r="L137" s="4">
        <f>(K137*(1+'Forecast drivers'!J9))</f>
        <v>0</v>
      </c>
      <c r="M137" s="4">
        <f>(L137*(1+'Forecast drivers'!K9))</f>
        <v>0</v>
      </c>
      <c r="N137" s="4">
        <f>(M137*(1+'Forecast drivers'!L9))</f>
        <v>0</v>
      </c>
      <c r="O137" s="4">
        <f>(N137*(1+'Forecast drivers'!M9))</f>
        <v>0</v>
      </c>
    </row>
    <row r="138">
      <c r="A138" s="0" t="inlineStr">
        <is>
          <t xml:space="preserve">Rent and facilities</t>
        </is>
      </c>
      <c r="B138" s="0" t="inlineStr">
        <is>
          <t xml:space="preserve">United States</t>
        </is>
      </c>
      <c r="C138" s="0" t="inlineStr">
        <is>
          <t xml:space="preserve">Customer success</t>
        </is>
      </c>
      <c r="D138" s="4">
        <f>SUMIFS('ledger'!$F$2:$F$745,'ledger'!$C$2:$C$745,"=us",'ledger'!$D$2:$D$745,"=customer_success",'ledger'!$E$2:$E$745,"=rent",'ledger'!$G$2:$G$745,"jan26")</f>
        <v>0</v>
      </c>
      <c r="E138" s="4">
        <f>SUMIFS('ledger'!$F$2:$F$745,'ledger'!$C$2:$C$745,"=us",'ledger'!$D$2:$D$745,"=customer_success",'ledger'!$E$2:$E$745,"=rent",'ledger'!$G$2:$G$745,"feb26")</f>
        <v>0</v>
      </c>
      <c r="F138" s="4">
        <f>SUMIFS('ledger'!$F$2:$F$745,'ledger'!$C$2:$C$745,"=us",'ledger'!$D$2:$D$745,"=customer_success",'ledger'!$E$2:$E$745,"=rent",'ledger'!$G$2:$G$745,"mar26")</f>
        <v>0</v>
      </c>
      <c r="G138" s="4">
        <f>SUMIFS('ledger'!$F$2:$F$745,'ledger'!$C$2:$C$745,"=us",'ledger'!$D$2:$D$745,"=customer_success",'ledger'!$E$2:$E$745,"=rent",'ledger'!$G$2:$G$745,"apr26")</f>
        <v>0</v>
      </c>
      <c r="H138" s="4">
        <f>SUMIFS('ledger'!$F$2:$F$745,'ledger'!$C$2:$C$745,"=us",'ledger'!$D$2:$D$745,"=customer_success",'ledger'!$E$2:$E$745,"=rent",'ledger'!$G$2:$G$745,"may26")</f>
        <v>0</v>
      </c>
      <c r="I138" s="4">
        <f>SUMIFS('ledger'!$F$2:$F$745,'ledger'!$C$2:$C$745,"=us",'ledger'!$D$2:$D$745,"=customer_success",'ledger'!$E$2:$E$745,"=rent",'ledger'!$G$2:$G$745,"jun26")</f>
        <v>0</v>
      </c>
      <c r="J138" s="4">
        <f>SUMIFS('ledger'!$F$2:$F$745,'ledger'!$C$2:$C$745,"=us",'ledger'!$D$2:$D$745,"=customer_success",'ledger'!$E$2:$E$745,"=rent",'ledger'!$G$2:$G$745,"jul26")</f>
        <v>0</v>
      </c>
      <c r="K138" s="4">
        <f>SUMIFS('ledger'!$F$2:$F$745,'ledger'!$C$2:$C$745,"=us",'ledger'!$D$2:$D$745,"=customer_success",'ledger'!$E$2:$E$745,"=rent",'ledger'!$G$2:$G$745,"aug26")</f>
        <v>0</v>
      </c>
      <c r="L138" s="4">
        <f>(K138*(1+'Forecast drivers'!J9))</f>
        <v>0</v>
      </c>
      <c r="M138" s="4">
        <f>(L138*(1+'Forecast drivers'!K9))</f>
        <v>0</v>
      </c>
      <c r="N138" s="4">
        <f>(M138*(1+'Forecast drivers'!L9))</f>
        <v>0</v>
      </c>
      <c r="O138" s="4">
        <f>(N138*(1+'Forecast drivers'!M9))</f>
        <v>0</v>
      </c>
    </row>
    <row r="139">
      <c r="A139" s="0" t="inlineStr">
        <is>
          <t xml:space="preserve">Rent and facilities</t>
        </is>
      </c>
      <c r="B139" s="0" t="inlineStr">
        <is>
          <t xml:space="preserve">United States</t>
        </is>
      </c>
      <c r="C139" s="0" t="inlineStr">
        <is>
          <t xml:space="preserve">G&amp;A</t>
        </is>
      </c>
      <c r="D139" s="8">
        <f>SUMIFS('ledger'!$F$2:$F$745,'ledger'!$C$2:$C$745,"=us",'ledger'!$D$2:$D$745,"=g_and_a",'ledger'!$E$2:$E$745,"=rent",'ledger'!$G$2:$G$745,"jan26")</f>
        <v>-83016</v>
      </c>
      <c r="E139" s="8">
        <f>SUMIFS('ledger'!$F$2:$F$745,'ledger'!$C$2:$C$745,"=us",'ledger'!$D$2:$D$745,"=g_and_a",'ledger'!$E$2:$E$745,"=rent",'ledger'!$G$2:$G$745,"feb26")</f>
        <v>-84231</v>
      </c>
      <c r="F139" s="8">
        <f>SUMIFS('ledger'!$F$2:$F$745,'ledger'!$C$2:$C$745,"=us",'ledger'!$D$2:$D$745,"=g_and_a",'ledger'!$E$2:$E$745,"=rent",'ledger'!$G$2:$G$745,"mar26")</f>
        <v>-87549</v>
      </c>
      <c r="G139" s="8">
        <f>SUMIFS('ledger'!$F$2:$F$745,'ledger'!$C$2:$C$745,"=us",'ledger'!$D$2:$D$745,"=g_and_a",'ledger'!$E$2:$E$745,"=rent",'ledger'!$G$2:$G$745,"apr26")</f>
        <v>-93728</v>
      </c>
      <c r="H139" s="8">
        <f>SUMIFS('ledger'!$F$2:$F$745,'ledger'!$C$2:$C$745,"=us",'ledger'!$D$2:$D$745,"=g_and_a",'ledger'!$E$2:$E$745,"=rent",'ledger'!$G$2:$G$745,"may26")</f>
        <v>-84293</v>
      </c>
      <c r="I139" s="8">
        <f>SUMIFS('ledger'!$F$2:$F$745,'ledger'!$C$2:$C$745,"=us",'ledger'!$D$2:$D$745,"=g_and_a",'ledger'!$E$2:$E$745,"=rent",'ledger'!$G$2:$G$745,"jun26")</f>
        <v>-82214</v>
      </c>
      <c r="J139" s="8">
        <f>SUMIFS('ledger'!$F$2:$F$745,'ledger'!$C$2:$C$745,"=us",'ledger'!$D$2:$D$745,"=g_and_a",'ledger'!$E$2:$E$745,"=rent",'ledger'!$G$2:$G$745,"jul26")</f>
        <v>-100959</v>
      </c>
      <c r="K139" s="8">
        <f>SUMIFS('ledger'!$F$2:$F$745,'ledger'!$C$2:$C$745,"=us",'ledger'!$D$2:$D$745,"=g_and_a",'ledger'!$E$2:$E$745,"=rent",'ledger'!$G$2:$G$745,"aug26")</f>
        <v>-94859</v>
      </c>
      <c r="L139" s="8">
        <f>(K139*(1+'Forecast drivers'!J9))</f>
        <v>-95428.154</v>
      </c>
      <c r="M139" s="8">
        <f>(L139*(1+'Forecast drivers'!K9))</f>
        <v>-96000.722924</v>
      </c>
      <c r="N139" s="8">
        <f>(M139*(1+'Forecast drivers'!L9))</f>
        <v>-96576.727261544</v>
      </c>
      <c r="O139" s="8">
        <f>(N139*(1+'Forecast drivers'!M9))</f>
        <v>-97156.18762511326</v>
      </c>
    </row>
    <row r="140">
      <c r="A140" s="0" t="inlineStr">
        <is>
          <t xml:space="preserve">Rent and facilities</t>
        </is>
      </c>
      <c r="B140" s="0" t="inlineStr">
        <is>
          <t xml:space="preserve">United Kingdom</t>
        </is>
      </c>
      <c r="C140" s="0" t="inlineStr">
        <is>
          <t xml:space="preserve">Company (revenue and cost of revenue)</t>
        </is>
      </c>
      <c r="D140" s="4">
        <f>SUMIFS('ledger'!$F$2:$F$745,'ledger'!$C$2:$C$745,"=uk",'ledger'!$D$2:$D$745,"=company",'ledger'!$E$2:$E$745,"=rent",'ledger'!$G$2:$G$745,"jan26")</f>
        <v>0</v>
      </c>
      <c r="E140" s="4">
        <f>SUMIFS('ledger'!$F$2:$F$745,'ledger'!$C$2:$C$745,"=uk",'ledger'!$D$2:$D$745,"=company",'ledger'!$E$2:$E$745,"=rent",'ledger'!$G$2:$G$745,"feb26")</f>
        <v>0</v>
      </c>
      <c r="F140" s="4">
        <f>SUMIFS('ledger'!$F$2:$F$745,'ledger'!$C$2:$C$745,"=uk",'ledger'!$D$2:$D$745,"=company",'ledger'!$E$2:$E$745,"=rent",'ledger'!$G$2:$G$745,"mar26")</f>
        <v>0</v>
      </c>
      <c r="G140" s="4">
        <f>SUMIFS('ledger'!$F$2:$F$745,'ledger'!$C$2:$C$745,"=uk",'ledger'!$D$2:$D$745,"=company",'ledger'!$E$2:$E$745,"=rent",'ledger'!$G$2:$G$745,"apr26")</f>
        <v>0</v>
      </c>
      <c r="H140" s="4">
        <f>SUMIFS('ledger'!$F$2:$F$745,'ledger'!$C$2:$C$745,"=uk",'ledger'!$D$2:$D$745,"=company",'ledger'!$E$2:$E$745,"=rent",'ledger'!$G$2:$G$745,"may26")</f>
        <v>0</v>
      </c>
      <c r="I140" s="4">
        <f>SUMIFS('ledger'!$F$2:$F$745,'ledger'!$C$2:$C$745,"=uk",'ledger'!$D$2:$D$745,"=company",'ledger'!$E$2:$E$745,"=rent",'ledger'!$G$2:$G$745,"jun26")</f>
        <v>0</v>
      </c>
      <c r="J140" s="4">
        <f>SUMIFS('ledger'!$F$2:$F$745,'ledger'!$C$2:$C$745,"=uk",'ledger'!$D$2:$D$745,"=company",'ledger'!$E$2:$E$745,"=rent",'ledger'!$G$2:$G$745,"jul26")</f>
        <v>0</v>
      </c>
      <c r="K140" s="4">
        <f>SUMIFS('ledger'!$F$2:$F$745,'ledger'!$C$2:$C$745,"=uk",'ledger'!$D$2:$D$745,"=company",'ledger'!$E$2:$E$745,"=rent",'ledger'!$G$2:$G$745,"aug26")</f>
        <v>0</v>
      </c>
      <c r="L140" s="4">
        <f>(K140*(1+'Forecast drivers'!J9))</f>
        <v>0</v>
      </c>
      <c r="M140" s="4">
        <f>(L140*(1+'Forecast drivers'!K9))</f>
        <v>0</v>
      </c>
      <c r="N140" s="4">
        <f>(M140*(1+'Forecast drivers'!L9))</f>
        <v>0</v>
      </c>
      <c r="O140" s="4">
        <f>(N140*(1+'Forecast drivers'!M9))</f>
        <v>0</v>
      </c>
    </row>
    <row r="141">
      <c r="A141" s="0" t="inlineStr">
        <is>
          <t xml:space="preserve">Rent and facilities</t>
        </is>
      </c>
      <c r="B141" s="0" t="inlineStr">
        <is>
          <t xml:space="preserve">United Kingdom</t>
        </is>
      </c>
      <c r="C141" s="0" t="inlineStr">
        <is>
          <t xml:space="preserve">Sales</t>
        </is>
      </c>
      <c r="D141" s="4">
        <f>SUMIFS('ledger'!$F$2:$F$745,'ledger'!$C$2:$C$745,"=uk",'ledger'!$D$2:$D$745,"=sales",'ledger'!$E$2:$E$745,"=rent",'ledger'!$G$2:$G$745,"jan26")</f>
        <v>0</v>
      </c>
      <c r="E141" s="4">
        <f>SUMIFS('ledger'!$F$2:$F$745,'ledger'!$C$2:$C$745,"=uk",'ledger'!$D$2:$D$745,"=sales",'ledger'!$E$2:$E$745,"=rent",'ledger'!$G$2:$G$745,"feb26")</f>
        <v>0</v>
      </c>
      <c r="F141" s="4">
        <f>SUMIFS('ledger'!$F$2:$F$745,'ledger'!$C$2:$C$745,"=uk",'ledger'!$D$2:$D$745,"=sales",'ledger'!$E$2:$E$745,"=rent",'ledger'!$G$2:$G$745,"mar26")</f>
        <v>0</v>
      </c>
      <c r="G141" s="4">
        <f>SUMIFS('ledger'!$F$2:$F$745,'ledger'!$C$2:$C$745,"=uk",'ledger'!$D$2:$D$745,"=sales",'ledger'!$E$2:$E$745,"=rent",'ledger'!$G$2:$G$745,"apr26")</f>
        <v>0</v>
      </c>
      <c r="H141" s="4">
        <f>SUMIFS('ledger'!$F$2:$F$745,'ledger'!$C$2:$C$745,"=uk",'ledger'!$D$2:$D$745,"=sales",'ledger'!$E$2:$E$745,"=rent",'ledger'!$G$2:$G$745,"may26")</f>
        <v>0</v>
      </c>
      <c r="I141" s="4">
        <f>SUMIFS('ledger'!$F$2:$F$745,'ledger'!$C$2:$C$745,"=uk",'ledger'!$D$2:$D$745,"=sales",'ledger'!$E$2:$E$745,"=rent",'ledger'!$G$2:$G$745,"jun26")</f>
        <v>0</v>
      </c>
      <c r="J141" s="4">
        <f>SUMIFS('ledger'!$F$2:$F$745,'ledger'!$C$2:$C$745,"=uk",'ledger'!$D$2:$D$745,"=sales",'ledger'!$E$2:$E$745,"=rent",'ledger'!$G$2:$G$745,"jul26")</f>
        <v>0</v>
      </c>
      <c r="K141" s="4">
        <f>SUMIFS('ledger'!$F$2:$F$745,'ledger'!$C$2:$C$745,"=uk",'ledger'!$D$2:$D$745,"=sales",'ledger'!$E$2:$E$745,"=rent",'ledger'!$G$2:$G$745,"aug26")</f>
        <v>0</v>
      </c>
      <c r="L141" s="4">
        <f>(K141*(1+'Forecast drivers'!J9))</f>
        <v>0</v>
      </c>
      <c r="M141" s="4">
        <f>(L141*(1+'Forecast drivers'!K9))</f>
        <v>0</v>
      </c>
      <c r="N141" s="4">
        <f>(M141*(1+'Forecast drivers'!L9))</f>
        <v>0</v>
      </c>
      <c r="O141" s="4">
        <f>(N141*(1+'Forecast drivers'!M9))</f>
        <v>0</v>
      </c>
    </row>
    <row r="142">
      <c r="A142" s="0" t="inlineStr">
        <is>
          <t xml:space="preserve">Rent and facilities</t>
        </is>
      </c>
      <c r="B142" s="0" t="inlineStr">
        <is>
          <t xml:space="preserve">United Kingdom</t>
        </is>
      </c>
      <c r="C142" s="0" t="inlineStr">
        <is>
          <t xml:space="preserve">Marketing</t>
        </is>
      </c>
      <c r="D142" s="4">
        <f>SUMIFS('ledger'!$F$2:$F$745,'ledger'!$C$2:$C$745,"=uk",'ledger'!$D$2:$D$745,"=marketing",'ledger'!$E$2:$E$745,"=rent",'ledger'!$G$2:$G$745,"jan26")</f>
        <v>0</v>
      </c>
      <c r="E142" s="4">
        <f>SUMIFS('ledger'!$F$2:$F$745,'ledger'!$C$2:$C$745,"=uk",'ledger'!$D$2:$D$745,"=marketing",'ledger'!$E$2:$E$745,"=rent",'ledger'!$G$2:$G$745,"feb26")</f>
        <v>0</v>
      </c>
      <c r="F142" s="4">
        <f>SUMIFS('ledger'!$F$2:$F$745,'ledger'!$C$2:$C$745,"=uk",'ledger'!$D$2:$D$745,"=marketing",'ledger'!$E$2:$E$745,"=rent",'ledger'!$G$2:$G$745,"mar26")</f>
        <v>0</v>
      </c>
      <c r="G142" s="4">
        <f>SUMIFS('ledger'!$F$2:$F$745,'ledger'!$C$2:$C$745,"=uk",'ledger'!$D$2:$D$745,"=marketing",'ledger'!$E$2:$E$745,"=rent",'ledger'!$G$2:$G$745,"apr26")</f>
        <v>0</v>
      </c>
      <c r="H142" s="4">
        <f>SUMIFS('ledger'!$F$2:$F$745,'ledger'!$C$2:$C$745,"=uk",'ledger'!$D$2:$D$745,"=marketing",'ledger'!$E$2:$E$745,"=rent",'ledger'!$G$2:$G$745,"may26")</f>
        <v>0</v>
      </c>
      <c r="I142" s="4">
        <f>SUMIFS('ledger'!$F$2:$F$745,'ledger'!$C$2:$C$745,"=uk",'ledger'!$D$2:$D$745,"=marketing",'ledger'!$E$2:$E$745,"=rent",'ledger'!$G$2:$G$745,"jun26")</f>
        <v>0</v>
      </c>
      <c r="J142" s="4">
        <f>SUMIFS('ledger'!$F$2:$F$745,'ledger'!$C$2:$C$745,"=uk",'ledger'!$D$2:$D$745,"=marketing",'ledger'!$E$2:$E$745,"=rent",'ledger'!$G$2:$G$745,"jul26")</f>
        <v>0</v>
      </c>
      <c r="K142" s="4">
        <f>SUMIFS('ledger'!$F$2:$F$745,'ledger'!$C$2:$C$745,"=uk",'ledger'!$D$2:$D$745,"=marketing",'ledger'!$E$2:$E$745,"=rent",'ledger'!$G$2:$G$745,"aug26")</f>
        <v>0</v>
      </c>
      <c r="L142" s="4">
        <f>(K142*(1+'Forecast drivers'!J9))</f>
        <v>0</v>
      </c>
      <c r="M142" s="4">
        <f>(L142*(1+'Forecast drivers'!K9))</f>
        <v>0</v>
      </c>
      <c r="N142" s="4">
        <f>(M142*(1+'Forecast drivers'!L9))</f>
        <v>0</v>
      </c>
      <c r="O142" s="4">
        <f>(N142*(1+'Forecast drivers'!M9))</f>
        <v>0</v>
      </c>
    </row>
    <row r="143">
      <c r="A143" s="0" t="inlineStr">
        <is>
          <t xml:space="preserve">Rent and facilities</t>
        </is>
      </c>
      <c r="B143" s="0" t="inlineStr">
        <is>
          <t xml:space="preserve">United Kingdom</t>
        </is>
      </c>
      <c r="C143" s="0" t="inlineStr">
        <is>
          <t xml:space="preserve">Engineering</t>
        </is>
      </c>
      <c r="D143" s="4">
        <f>SUMIFS('ledger'!$F$2:$F$745,'ledger'!$C$2:$C$745,"=uk",'ledger'!$D$2:$D$745,"=engineering",'ledger'!$E$2:$E$745,"=rent",'ledger'!$G$2:$G$745,"jan26")</f>
        <v>0</v>
      </c>
      <c r="E143" s="4">
        <f>SUMIFS('ledger'!$F$2:$F$745,'ledger'!$C$2:$C$745,"=uk",'ledger'!$D$2:$D$745,"=engineering",'ledger'!$E$2:$E$745,"=rent",'ledger'!$G$2:$G$745,"feb26")</f>
        <v>0</v>
      </c>
      <c r="F143" s="4">
        <f>SUMIFS('ledger'!$F$2:$F$745,'ledger'!$C$2:$C$745,"=uk",'ledger'!$D$2:$D$745,"=engineering",'ledger'!$E$2:$E$745,"=rent",'ledger'!$G$2:$G$745,"mar26")</f>
        <v>0</v>
      </c>
      <c r="G143" s="4">
        <f>SUMIFS('ledger'!$F$2:$F$745,'ledger'!$C$2:$C$745,"=uk",'ledger'!$D$2:$D$745,"=engineering",'ledger'!$E$2:$E$745,"=rent",'ledger'!$G$2:$G$745,"apr26")</f>
        <v>0</v>
      </c>
      <c r="H143" s="4">
        <f>SUMIFS('ledger'!$F$2:$F$745,'ledger'!$C$2:$C$745,"=uk",'ledger'!$D$2:$D$745,"=engineering",'ledger'!$E$2:$E$745,"=rent",'ledger'!$G$2:$G$745,"may26")</f>
        <v>0</v>
      </c>
      <c r="I143" s="4">
        <f>SUMIFS('ledger'!$F$2:$F$745,'ledger'!$C$2:$C$745,"=uk",'ledger'!$D$2:$D$745,"=engineering",'ledger'!$E$2:$E$745,"=rent",'ledger'!$G$2:$G$745,"jun26")</f>
        <v>0</v>
      </c>
      <c r="J143" s="4">
        <f>SUMIFS('ledger'!$F$2:$F$745,'ledger'!$C$2:$C$745,"=uk",'ledger'!$D$2:$D$745,"=engineering",'ledger'!$E$2:$E$745,"=rent",'ledger'!$G$2:$G$745,"jul26")</f>
        <v>0</v>
      </c>
      <c r="K143" s="4">
        <f>SUMIFS('ledger'!$F$2:$F$745,'ledger'!$C$2:$C$745,"=uk",'ledger'!$D$2:$D$745,"=engineering",'ledger'!$E$2:$E$745,"=rent",'ledger'!$G$2:$G$745,"aug26")</f>
        <v>0</v>
      </c>
      <c r="L143" s="4">
        <f>(K143*(1+'Forecast drivers'!J9))</f>
        <v>0</v>
      </c>
      <c r="M143" s="4">
        <f>(L143*(1+'Forecast drivers'!K9))</f>
        <v>0</v>
      </c>
      <c r="N143" s="4">
        <f>(M143*(1+'Forecast drivers'!L9))</f>
        <v>0</v>
      </c>
      <c r="O143" s="4">
        <f>(N143*(1+'Forecast drivers'!M9))</f>
        <v>0</v>
      </c>
    </row>
    <row r="144">
      <c r="A144" s="0" t="inlineStr">
        <is>
          <t xml:space="preserve">Rent and facilities</t>
        </is>
      </c>
      <c r="B144" s="0" t="inlineStr">
        <is>
          <t xml:space="preserve">United Kingdom</t>
        </is>
      </c>
      <c r="C144" s="0" t="inlineStr">
        <is>
          <t xml:space="preserve">Customer success</t>
        </is>
      </c>
      <c r="D144" s="4">
        <f>SUMIFS('ledger'!$F$2:$F$745,'ledger'!$C$2:$C$745,"=uk",'ledger'!$D$2:$D$745,"=customer_success",'ledger'!$E$2:$E$745,"=rent",'ledger'!$G$2:$G$745,"jan26")</f>
        <v>0</v>
      </c>
      <c r="E144" s="4">
        <f>SUMIFS('ledger'!$F$2:$F$745,'ledger'!$C$2:$C$745,"=uk",'ledger'!$D$2:$D$745,"=customer_success",'ledger'!$E$2:$E$745,"=rent",'ledger'!$G$2:$G$745,"feb26")</f>
        <v>0</v>
      </c>
      <c r="F144" s="4">
        <f>SUMIFS('ledger'!$F$2:$F$745,'ledger'!$C$2:$C$745,"=uk",'ledger'!$D$2:$D$745,"=customer_success",'ledger'!$E$2:$E$745,"=rent",'ledger'!$G$2:$G$745,"mar26")</f>
        <v>0</v>
      </c>
      <c r="G144" s="4">
        <f>SUMIFS('ledger'!$F$2:$F$745,'ledger'!$C$2:$C$745,"=uk",'ledger'!$D$2:$D$745,"=customer_success",'ledger'!$E$2:$E$745,"=rent",'ledger'!$G$2:$G$745,"apr26")</f>
        <v>0</v>
      </c>
      <c r="H144" s="4">
        <f>SUMIFS('ledger'!$F$2:$F$745,'ledger'!$C$2:$C$745,"=uk",'ledger'!$D$2:$D$745,"=customer_success",'ledger'!$E$2:$E$745,"=rent",'ledger'!$G$2:$G$745,"may26")</f>
        <v>0</v>
      </c>
      <c r="I144" s="4">
        <f>SUMIFS('ledger'!$F$2:$F$745,'ledger'!$C$2:$C$745,"=uk",'ledger'!$D$2:$D$745,"=customer_success",'ledger'!$E$2:$E$745,"=rent",'ledger'!$G$2:$G$745,"jun26")</f>
        <v>0</v>
      </c>
      <c r="J144" s="4">
        <f>SUMIFS('ledger'!$F$2:$F$745,'ledger'!$C$2:$C$745,"=uk",'ledger'!$D$2:$D$745,"=customer_success",'ledger'!$E$2:$E$745,"=rent",'ledger'!$G$2:$G$745,"jul26")</f>
        <v>0</v>
      </c>
      <c r="K144" s="4">
        <f>SUMIFS('ledger'!$F$2:$F$745,'ledger'!$C$2:$C$745,"=uk",'ledger'!$D$2:$D$745,"=customer_success",'ledger'!$E$2:$E$745,"=rent",'ledger'!$G$2:$G$745,"aug26")</f>
        <v>0</v>
      </c>
      <c r="L144" s="4">
        <f>(K144*(1+'Forecast drivers'!J9))</f>
        <v>0</v>
      </c>
      <c r="M144" s="4">
        <f>(L144*(1+'Forecast drivers'!K9))</f>
        <v>0</v>
      </c>
      <c r="N144" s="4">
        <f>(M144*(1+'Forecast drivers'!L9))</f>
        <v>0</v>
      </c>
      <c r="O144" s="4">
        <f>(N144*(1+'Forecast drivers'!M9))</f>
        <v>0</v>
      </c>
    </row>
    <row r="145">
      <c r="A145" s="0" t="inlineStr">
        <is>
          <t xml:space="preserve">Rent and facilities</t>
        </is>
      </c>
      <c r="B145" s="0" t="inlineStr">
        <is>
          <t xml:space="preserve">United Kingdom</t>
        </is>
      </c>
      <c r="C145" s="0" t="inlineStr">
        <is>
          <t xml:space="preserve">G&amp;A</t>
        </is>
      </c>
      <c r="D145" s="8">
        <f>SUMIFS('ledger'!$F$2:$F$745,'ledger'!$C$2:$C$745,"=uk",'ledger'!$D$2:$D$745,"=g_and_a",'ledger'!$E$2:$E$745,"=rent",'ledger'!$G$2:$G$745,"jan26")</f>
        <v>-37724</v>
      </c>
      <c r="E145" s="8">
        <f>SUMIFS('ledger'!$F$2:$F$745,'ledger'!$C$2:$C$745,"=uk",'ledger'!$D$2:$D$745,"=g_and_a",'ledger'!$E$2:$E$745,"=rent",'ledger'!$G$2:$G$745,"feb26")</f>
        <v>-38722</v>
      </c>
      <c r="F145" s="8">
        <f>SUMIFS('ledger'!$F$2:$F$745,'ledger'!$C$2:$C$745,"=uk",'ledger'!$D$2:$D$745,"=g_and_a",'ledger'!$E$2:$E$745,"=rent",'ledger'!$G$2:$G$745,"mar26")</f>
        <v>-39584</v>
      </c>
      <c r="G145" s="8">
        <f>SUMIFS('ledger'!$F$2:$F$745,'ledger'!$C$2:$C$745,"=uk",'ledger'!$D$2:$D$745,"=g_and_a",'ledger'!$E$2:$E$745,"=rent",'ledger'!$G$2:$G$745,"apr26")</f>
        <v>-39489</v>
      </c>
      <c r="H145" s="8">
        <f>SUMIFS('ledger'!$F$2:$F$745,'ledger'!$C$2:$C$745,"=uk",'ledger'!$D$2:$D$745,"=g_and_a",'ledger'!$E$2:$E$745,"=rent",'ledger'!$G$2:$G$745,"may26")</f>
        <v>-40223</v>
      </c>
      <c r="I145" s="8">
        <f>SUMIFS('ledger'!$F$2:$F$745,'ledger'!$C$2:$C$745,"=uk",'ledger'!$D$2:$D$745,"=g_and_a",'ledger'!$E$2:$E$745,"=rent",'ledger'!$G$2:$G$745,"jun26")</f>
        <v>-38169</v>
      </c>
      <c r="J145" s="8">
        <f>SUMIFS('ledger'!$F$2:$F$745,'ledger'!$C$2:$C$745,"=uk",'ledger'!$D$2:$D$745,"=g_and_a",'ledger'!$E$2:$E$745,"=rent",'ledger'!$G$2:$G$745,"jul26")</f>
        <v>-38377</v>
      </c>
      <c r="K145" s="8">
        <f>SUMIFS('ledger'!$F$2:$F$745,'ledger'!$C$2:$C$745,"=uk",'ledger'!$D$2:$D$745,"=g_and_a",'ledger'!$E$2:$E$745,"=rent",'ledger'!$G$2:$G$745,"aug26")</f>
        <v>-33263</v>
      </c>
      <c r="L145" s="8">
        <f>(K145*(1+'Forecast drivers'!J9))</f>
        <v>-33462.578</v>
      </c>
      <c r="M145" s="8">
        <f>(L145*(1+'Forecast drivers'!K9))</f>
        <v>-33663.353468</v>
      </c>
      <c r="N145" s="8">
        <f>(M145*(1+'Forecast drivers'!L9))</f>
        <v>-33865.333588808004</v>
      </c>
      <c r="O145" s="8">
        <f>(N145*(1+'Forecast drivers'!M9))</f>
        <v>-34068.525590340854</v>
      </c>
    </row>
    <row r="146">
      <c r="A146" s="0" t="inlineStr">
        <is>
          <t xml:space="preserve">Professional fees</t>
        </is>
      </c>
      <c r="B146" s="0" t="inlineStr">
        <is>
          <t xml:space="preserve">United States</t>
        </is>
      </c>
      <c r="C146" s="0" t="inlineStr">
        <is>
          <t xml:space="preserve">Company (revenue and cost of revenue)</t>
        </is>
      </c>
      <c r="D146" s="4">
        <f>SUMIFS('ledger'!$F$2:$F$745,'ledger'!$C$2:$C$745,"=us",'ledger'!$D$2:$D$745,"=company",'ledger'!$E$2:$E$745,"=professional_fees",'ledger'!$G$2:$G$745,"jan26")</f>
        <v>0</v>
      </c>
      <c r="E146" s="4">
        <f>SUMIFS('ledger'!$F$2:$F$745,'ledger'!$C$2:$C$745,"=us",'ledger'!$D$2:$D$745,"=company",'ledger'!$E$2:$E$745,"=professional_fees",'ledger'!$G$2:$G$745,"feb26")</f>
        <v>0</v>
      </c>
      <c r="F146" s="4">
        <f>SUMIFS('ledger'!$F$2:$F$745,'ledger'!$C$2:$C$745,"=us",'ledger'!$D$2:$D$745,"=company",'ledger'!$E$2:$E$745,"=professional_fees",'ledger'!$G$2:$G$745,"mar26")</f>
        <v>0</v>
      </c>
      <c r="G146" s="4">
        <f>SUMIFS('ledger'!$F$2:$F$745,'ledger'!$C$2:$C$745,"=us",'ledger'!$D$2:$D$745,"=company",'ledger'!$E$2:$E$745,"=professional_fees",'ledger'!$G$2:$G$745,"apr26")</f>
        <v>0</v>
      </c>
      <c r="H146" s="4">
        <f>SUMIFS('ledger'!$F$2:$F$745,'ledger'!$C$2:$C$745,"=us",'ledger'!$D$2:$D$745,"=company",'ledger'!$E$2:$E$745,"=professional_fees",'ledger'!$G$2:$G$745,"may26")</f>
        <v>0</v>
      </c>
      <c r="I146" s="4">
        <f>SUMIFS('ledger'!$F$2:$F$745,'ledger'!$C$2:$C$745,"=us",'ledger'!$D$2:$D$745,"=company",'ledger'!$E$2:$E$745,"=professional_fees",'ledger'!$G$2:$G$745,"jun26")</f>
        <v>0</v>
      </c>
      <c r="J146" s="4">
        <f>SUMIFS('ledger'!$F$2:$F$745,'ledger'!$C$2:$C$745,"=us",'ledger'!$D$2:$D$745,"=company",'ledger'!$E$2:$E$745,"=professional_fees",'ledger'!$G$2:$G$745,"jul26")</f>
        <v>0</v>
      </c>
      <c r="K146" s="4">
        <f>SUMIFS('ledger'!$F$2:$F$745,'ledger'!$C$2:$C$745,"=us",'ledger'!$D$2:$D$745,"=company",'ledger'!$E$2:$E$745,"=professional_fees",'ledger'!$G$2:$G$745,"aug26")</f>
        <v>0</v>
      </c>
      <c r="L146" s="4">
        <f>(K146*(1+'Forecast drivers'!J9))</f>
        <v>0</v>
      </c>
      <c r="M146" s="4">
        <f>(L146*(1+'Forecast drivers'!K9))</f>
        <v>0</v>
      </c>
      <c r="N146" s="4">
        <f>(M146*(1+'Forecast drivers'!L9))</f>
        <v>0</v>
      </c>
      <c r="O146" s="4">
        <f>(N146*(1+'Forecast drivers'!M9))</f>
        <v>0</v>
      </c>
    </row>
    <row r="147">
      <c r="A147" s="0" t="inlineStr">
        <is>
          <t xml:space="preserve">Professional fees</t>
        </is>
      </c>
      <c r="B147" s="0" t="inlineStr">
        <is>
          <t xml:space="preserve">United States</t>
        </is>
      </c>
      <c r="C147" s="0" t="inlineStr">
        <is>
          <t xml:space="preserve">Sales</t>
        </is>
      </c>
      <c r="D147" s="4">
        <f>SUMIFS('ledger'!$F$2:$F$745,'ledger'!$C$2:$C$745,"=us",'ledger'!$D$2:$D$745,"=sales",'ledger'!$E$2:$E$745,"=professional_fees",'ledger'!$G$2:$G$745,"jan26")</f>
        <v>0</v>
      </c>
      <c r="E147" s="4">
        <f>SUMIFS('ledger'!$F$2:$F$745,'ledger'!$C$2:$C$745,"=us",'ledger'!$D$2:$D$745,"=sales",'ledger'!$E$2:$E$745,"=professional_fees",'ledger'!$G$2:$G$745,"feb26")</f>
        <v>0</v>
      </c>
      <c r="F147" s="4">
        <f>SUMIFS('ledger'!$F$2:$F$745,'ledger'!$C$2:$C$745,"=us",'ledger'!$D$2:$D$745,"=sales",'ledger'!$E$2:$E$745,"=professional_fees",'ledger'!$G$2:$G$745,"mar26")</f>
        <v>0</v>
      </c>
      <c r="G147" s="4">
        <f>SUMIFS('ledger'!$F$2:$F$745,'ledger'!$C$2:$C$745,"=us",'ledger'!$D$2:$D$745,"=sales",'ledger'!$E$2:$E$745,"=professional_fees",'ledger'!$G$2:$G$745,"apr26")</f>
        <v>0</v>
      </c>
      <c r="H147" s="4">
        <f>SUMIFS('ledger'!$F$2:$F$745,'ledger'!$C$2:$C$745,"=us",'ledger'!$D$2:$D$745,"=sales",'ledger'!$E$2:$E$745,"=professional_fees",'ledger'!$G$2:$G$745,"may26")</f>
        <v>0</v>
      </c>
      <c r="I147" s="4">
        <f>SUMIFS('ledger'!$F$2:$F$745,'ledger'!$C$2:$C$745,"=us",'ledger'!$D$2:$D$745,"=sales",'ledger'!$E$2:$E$745,"=professional_fees",'ledger'!$G$2:$G$745,"jun26")</f>
        <v>0</v>
      </c>
      <c r="J147" s="4">
        <f>SUMIFS('ledger'!$F$2:$F$745,'ledger'!$C$2:$C$745,"=us",'ledger'!$D$2:$D$745,"=sales",'ledger'!$E$2:$E$745,"=professional_fees",'ledger'!$G$2:$G$745,"jul26")</f>
        <v>0</v>
      </c>
      <c r="K147" s="4">
        <f>SUMIFS('ledger'!$F$2:$F$745,'ledger'!$C$2:$C$745,"=us",'ledger'!$D$2:$D$745,"=sales",'ledger'!$E$2:$E$745,"=professional_fees",'ledger'!$G$2:$G$745,"aug26")</f>
        <v>0</v>
      </c>
      <c r="L147" s="4">
        <f>(K147*(1+'Forecast drivers'!J9))</f>
        <v>0</v>
      </c>
      <c r="M147" s="4">
        <f>(L147*(1+'Forecast drivers'!K9))</f>
        <v>0</v>
      </c>
      <c r="N147" s="4">
        <f>(M147*(1+'Forecast drivers'!L9))</f>
        <v>0</v>
      </c>
      <c r="O147" s="4">
        <f>(N147*(1+'Forecast drivers'!M9))</f>
        <v>0</v>
      </c>
    </row>
    <row r="148">
      <c r="A148" s="0" t="inlineStr">
        <is>
          <t xml:space="preserve">Professional fees</t>
        </is>
      </c>
      <c r="B148" s="0" t="inlineStr">
        <is>
          <t xml:space="preserve">United States</t>
        </is>
      </c>
      <c r="C148" s="0" t="inlineStr">
        <is>
          <t xml:space="preserve">Marketing</t>
        </is>
      </c>
      <c r="D148" s="4">
        <f>SUMIFS('ledger'!$F$2:$F$745,'ledger'!$C$2:$C$745,"=us",'ledger'!$D$2:$D$745,"=marketing",'ledger'!$E$2:$E$745,"=professional_fees",'ledger'!$G$2:$G$745,"jan26")</f>
        <v>0</v>
      </c>
      <c r="E148" s="4">
        <f>SUMIFS('ledger'!$F$2:$F$745,'ledger'!$C$2:$C$745,"=us",'ledger'!$D$2:$D$745,"=marketing",'ledger'!$E$2:$E$745,"=professional_fees",'ledger'!$G$2:$G$745,"feb26")</f>
        <v>0</v>
      </c>
      <c r="F148" s="4">
        <f>SUMIFS('ledger'!$F$2:$F$745,'ledger'!$C$2:$C$745,"=us",'ledger'!$D$2:$D$745,"=marketing",'ledger'!$E$2:$E$745,"=professional_fees",'ledger'!$G$2:$G$745,"mar26")</f>
        <v>0</v>
      </c>
      <c r="G148" s="4">
        <f>SUMIFS('ledger'!$F$2:$F$745,'ledger'!$C$2:$C$745,"=us",'ledger'!$D$2:$D$745,"=marketing",'ledger'!$E$2:$E$745,"=professional_fees",'ledger'!$G$2:$G$745,"apr26")</f>
        <v>0</v>
      </c>
      <c r="H148" s="4">
        <f>SUMIFS('ledger'!$F$2:$F$745,'ledger'!$C$2:$C$745,"=us",'ledger'!$D$2:$D$745,"=marketing",'ledger'!$E$2:$E$745,"=professional_fees",'ledger'!$G$2:$G$745,"may26")</f>
        <v>0</v>
      </c>
      <c r="I148" s="4">
        <f>SUMIFS('ledger'!$F$2:$F$745,'ledger'!$C$2:$C$745,"=us",'ledger'!$D$2:$D$745,"=marketing",'ledger'!$E$2:$E$745,"=professional_fees",'ledger'!$G$2:$G$745,"jun26")</f>
        <v>0</v>
      </c>
      <c r="J148" s="4">
        <f>SUMIFS('ledger'!$F$2:$F$745,'ledger'!$C$2:$C$745,"=us",'ledger'!$D$2:$D$745,"=marketing",'ledger'!$E$2:$E$745,"=professional_fees",'ledger'!$G$2:$G$745,"jul26")</f>
        <v>0</v>
      </c>
      <c r="K148" s="4">
        <f>SUMIFS('ledger'!$F$2:$F$745,'ledger'!$C$2:$C$745,"=us",'ledger'!$D$2:$D$745,"=marketing",'ledger'!$E$2:$E$745,"=professional_fees",'ledger'!$G$2:$G$745,"aug26")</f>
        <v>0</v>
      </c>
      <c r="L148" s="4">
        <f>(K148*(1+'Forecast drivers'!J9))</f>
        <v>0</v>
      </c>
      <c r="M148" s="4">
        <f>(L148*(1+'Forecast drivers'!K9))</f>
        <v>0</v>
      </c>
      <c r="N148" s="4">
        <f>(M148*(1+'Forecast drivers'!L9))</f>
        <v>0</v>
      </c>
      <c r="O148" s="4">
        <f>(N148*(1+'Forecast drivers'!M9))</f>
        <v>0</v>
      </c>
    </row>
    <row r="149">
      <c r="A149" s="0" t="inlineStr">
        <is>
          <t xml:space="preserve">Professional fees</t>
        </is>
      </c>
      <c r="B149" s="0" t="inlineStr">
        <is>
          <t xml:space="preserve">United States</t>
        </is>
      </c>
      <c r="C149" s="0" t="inlineStr">
        <is>
          <t xml:space="preserve">Engineering</t>
        </is>
      </c>
      <c r="D149" s="4">
        <f>SUMIFS('ledger'!$F$2:$F$745,'ledger'!$C$2:$C$745,"=us",'ledger'!$D$2:$D$745,"=engineering",'ledger'!$E$2:$E$745,"=professional_fees",'ledger'!$G$2:$G$745,"jan26")</f>
        <v>0</v>
      </c>
      <c r="E149" s="4">
        <f>SUMIFS('ledger'!$F$2:$F$745,'ledger'!$C$2:$C$745,"=us",'ledger'!$D$2:$D$745,"=engineering",'ledger'!$E$2:$E$745,"=professional_fees",'ledger'!$G$2:$G$745,"feb26")</f>
        <v>0</v>
      </c>
      <c r="F149" s="4">
        <f>SUMIFS('ledger'!$F$2:$F$745,'ledger'!$C$2:$C$745,"=us",'ledger'!$D$2:$D$745,"=engineering",'ledger'!$E$2:$E$745,"=professional_fees",'ledger'!$G$2:$G$745,"mar26")</f>
        <v>0</v>
      </c>
      <c r="G149" s="4">
        <f>SUMIFS('ledger'!$F$2:$F$745,'ledger'!$C$2:$C$745,"=us",'ledger'!$D$2:$D$745,"=engineering",'ledger'!$E$2:$E$745,"=professional_fees",'ledger'!$G$2:$G$745,"apr26")</f>
        <v>0</v>
      </c>
      <c r="H149" s="4">
        <f>SUMIFS('ledger'!$F$2:$F$745,'ledger'!$C$2:$C$745,"=us",'ledger'!$D$2:$D$745,"=engineering",'ledger'!$E$2:$E$745,"=professional_fees",'ledger'!$G$2:$G$745,"may26")</f>
        <v>0</v>
      </c>
      <c r="I149" s="4">
        <f>SUMIFS('ledger'!$F$2:$F$745,'ledger'!$C$2:$C$745,"=us",'ledger'!$D$2:$D$745,"=engineering",'ledger'!$E$2:$E$745,"=professional_fees",'ledger'!$G$2:$G$745,"jun26")</f>
        <v>0</v>
      </c>
      <c r="J149" s="4">
        <f>SUMIFS('ledger'!$F$2:$F$745,'ledger'!$C$2:$C$745,"=us",'ledger'!$D$2:$D$745,"=engineering",'ledger'!$E$2:$E$745,"=professional_fees",'ledger'!$G$2:$G$745,"jul26")</f>
        <v>0</v>
      </c>
      <c r="K149" s="4">
        <f>SUMIFS('ledger'!$F$2:$F$745,'ledger'!$C$2:$C$745,"=us",'ledger'!$D$2:$D$745,"=engineering",'ledger'!$E$2:$E$745,"=professional_fees",'ledger'!$G$2:$G$745,"aug26")</f>
        <v>0</v>
      </c>
      <c r="L149" s="4">
        <f>(K149*(1+'Forecast drivers'!J9))</f>
        <v>0</v>
      </c>
      <c r="M149" s="4">
        <f>(L149*(1+'Forecast drivers'!K9))</f>
        <v>0</v>
      </c>
      <c r="N149" s="4">
        <f>(M149*(1+'Forecast drivers'!L9))</f>
        <v>0</v>
      </c>
      <c r="O149" s="4">
        <f>(N149*(1+'Forecast drivers'!M9))</f>
        <v>0</v>
      </c>
    </row>
    <row r="150">
      <c r="A150" s="0" t="inlineStr">
        <is>
          <t xml:space="preserve">Professional fees</t>
        </is>
      </c>
      <c r="B150" s="0" t="inlineStr">
        <is>
          <t xml:space="preserve">United States</t>
        </is>
      </c>
      <c r="C150" s="0" t="inlineStr">
        <is>
          <t xml:space="preserve">Customer success</t>
        </is>
      </c>
      <c r="D150" s="4">
        <f>SUMIFS('ledger'!$F$2:$F$745,'ledger'!$C$2:$C$745,"=us",'ledger'!$D$2:$D$745,"=customer_success",'ledger'!$E$2:$E$745,"=professional_fees",'ledger'!$G$2:$G$745,"jan26")</f>
        <v>0</v>
      </c>
      <c r="E150" s="4">
        <f>SUMIFS('ledger'!$F$2:$F$745,'ledger'!$C$2:$C$745,"=us",'ledger'!$D$2:$D$745,"=customer_success",'ledger'!$E$2:$E$745,"=professional_fees",'ledger'!$G$2:$G$745,"feb26")</f>
        <v>0</v>
      </c>
      <c r="F150" s="4">
        <f>SUMIFS('ledger'!$F$2:$F$745,'ledger'!$C$2:$C$745,"=us",'ledger'!$D$2:$D$745,"=customer_success",'ledger'!$E$2:$E$745,"=professional_fees",'ledger'!$G$2:$G$745,"mar26")</f>
        <v>0</v>
      </c>
      <c r="G150" s="4">
        <f>SUMIFS('ledger'!$F$2:$F$745,'ledger'!$C$2:$C$745,"=us",'ledger'!$D$2:$D$745,"=customer_success",'ledger'!$E$2:$E$745,"=professional_fees",'ledger'!$G$2:$G$745,"apr26")</f>
        <v>0</v>
      </c>
      <c r="H150" s="4">
        <f>SUMIFS('ledger'!$F$2:$F$745,'ledger'!$C$2:$C$745,"=us",'ledger'!$D$2:$D$745,"=customer_success",'ledger'!$E$2:$E$745,"=professional_fees",'ledger'!$G$2:$G$745,"may26")</f>
        <v>0</v>
      </c>
      <c r="I150" s="4">
        <f>SUMIFS('ledger'!$F$2:$F$745,'ledger'!$C$2:$C$745,"=us",'ledger'!$D$2:$D$745,"=customer_success",'ledger'!$E$2:$E$745,"=professional_fees",'ledger'!$G$2:$G$745,"jun26")</f>
        <v>0</v>
      </c>
      <c r="J150" s="4">
        <f>SUMIFS('ledger'!$F$2:$F$745,'ledger'!$C$2:$C$745,"=us",'ledger'!$D$2:$D$745,"=customer_success",'ledger'!$E$2:$E$745,"=professional_fees",'ledger'!$G$2:$G$745,"jul26")</f>
        <v>0</v>
      </c>
      <c r="K150" s="4">
        <f>SUMIFS('ledger'!$F$2:$F$745,'ledger'!$C$2:$C$745,"=us",'ledger'!$D$2:$D$745,"=customer_success",'ledger'!$E$2:$E$745,"=professional_fees",'ledger'!$G$2:$G$745,"aug26")</f>
        <v>0</v>
      </c>
      <c r="L150" s="4">
        <f>(K150*(1+'Forecast drivers'!J9))</f>
        <v>0</v>
      </c>
      <c r="M150" s="4">
        <f>(L150*(1+'Forecast drivers'!K9))</f>
        <v>0</v>
      </c>
      <c r="N150" s="4">
        <f>(M150*(1+'Forecast drivers'!L9))</f>
        <v>0</v>
      </c>
      <c r="O150" s="4">
        <f>(N150*(1+'Forecast drivers'!M9))</f>
        <v>0</v>
      </c>
    </row>
    <row r="151">
      <c r="A151" s="0" t="inlineStr">
        <is>
          <t xml:space="preserve">Professional fees</t>
        </is>
      </c>
      <c r="B151" s="0" t="inlineStr">
        <is>
          <t xml:space="preserve">United States</t>
        </is>
      </c>
      <c r="C151" s="0" t="inlineStr">
        <is>
          <t xml:space="preserve">G&amp;A</t>
        </is>
      </c>
      <c r="D151" s="8">
        <f>SUMIFS('ledger'!$F$2:$F$745,'ledger'!$C$2:$C$745,"=us",'ledger'!$D$2:$D$745,"=g_and_a",'ledger'!$E$2:$E$745,"=professional_fees",'ledger'!$G$2:$G$745,"jan26")</f>
        <v>-31130</v>
      </c>
      <c r="E151" s="8">
        <f>SUMIFS('ledger'!$F$2:$F$745,'ledger'!$C$2:$C$745,"=us",'ledger'!$D$2:$D$745,"=g_and_a",'ledger'!$E$2:$E$745,"=professional_fees",'ledger'!$G$2:$G$745,"feb26")</f>
        <v>-35124</v>
      </c>
      <c r="F151" s="8">
        <f>SUMIFS('ledger'!$F$2:$F$745,'ledger'!$C$2:$C$745,"=us",'ledger'!$D$2:$D$745,"=g_and_a",'ledger'!$E$2:$E$745,"=professional_fees",'ledger'!$G$2:$G$745,"mar26")</f>
        <v>-33727</v>
      </c>
      <c r="G151" s="8">
        <f>SUMIFS('ledger'!$F$2:$F$745,'ledger'!$C$2:$C$745,"=us",'ledger'!$D$2:$D$745,"=g_and_a",'ledger'!$E$2:$E$745,"=professional_fees",'ledger'!$G$2:$G$745,"apr26")</f>
        <v>-32853</v>
      </c>
      <c r="H151" s="8">
        <f>SUMIFS('ledger'!$F$2:$F$745,'ledger'!$C$2:$C$745,"=us",'ledger'!$D$2:$D$745,"=g_and_a",'ledger'!$E$2:$E$745,"=professional_fees",'ledger'!$G$2:$G$745,"may26")</f>
        <v>-35858</v>
      </c>
      <c r="I151" s="8">
        <f>SUMIFS('ledger'!$F$2:$F$745,'ledger'!$C$2:$C$745,"=us",'ledger'!$D$2:$D$745,"=g_and_a",'ledger'!$E$2:$E$745,"=professional_fees",'ledger'!$G$2:$G$745,"jun26")</f>
        <v>-35172</v>
      </c>
      <c r="J151" s="8">
        <f>SUMIFS('ledger'!$F$2:$F$745,'ledger'!$C$2:$C$745,"=us",'ledger'!$D$2:$D$745,"=g_and_a",'ledger'!$E$2:$E$745,"=professional_fees",'ledger'!$G$2:$G$745,"jul26")</f>
        <v>-35372</v>
      </c>
      <c r="K151" s="8">
        <f>SUMIFS('ledger'!$F$2:$F$745,'ledger'!$C$2:$C$745,"=us",'ledger'!$D$2:$D$745,"=g_and_a",'ledger'!$E$2:$E$745,"=professional_fees",'ledger'!$G$2:$G$745,"aug26")</f>
        <v>-34129</v>
      </c>
      <c r="L151" s="8">
        <f>(K151*(1+'Forecast drivers'!J9))</f>
        <v>-34333.774</v>
      </c>
      <c r="M151" s="8">
        <f>(L151*(1+'Forecast drivers'!K9))</f>
        <v>-34539.776644</v>
      </c>
      <c r="N151" s="8">
        <f>(M151*(1+'Forecast drivers'!L9))</f>
        <v>-34747.015303864</v>
      </c>
      <c r="O151" s="8">
        <f>(N151*(1+'Forecast drivers'!M9))</f>
        <v>-34955.49739568718</v>
      </c>
    </row>
    <row r="152">
      <c r="A152" s="0" t="inlineStr">
        <is>
          <t xml:space="preserve">Professional fees</t>
        </is>
      </c>
      <c r="B152" s="0" t="inlineStr">
        <is>
          <t xml:space="preserve">United Kingdom</t>
        </is>
      </c>
      <c r="C152" s="0" t="inlineStr">
        <is>
          <t xml:space="preserve">Company (revenue and cost of revenue)</t>
        </is>
      </c>
      <c r="D152" s="4">
        <f>SUMIFS('ledger'!$F$2:$F$745,'ledger'!$C$2:$C$745,"=uk",'ledger'!$D$2:$D$745,"=company",'ledger'!$E$2:$E$745,"=professional_fees",'ledger'!$G$2:$G$745,"jan26")</f>
        <v>0</v>
      </c>
      <c r="E152" s="4">
        <f>SUMIFS('ledger'!$F$2:$F$745,'ledger'!$C$2:$C$745,"=uk",'ledger'!$D$2:$D$745,"=company",'ledger'!$E$2:$E$745,"=professional_fees",'ledger'!$G$2:$G$745,"feb26")</f>
        <v>0</v>
      </c>
      <c r="F152" s="4">
        <f>SUMIFS('ledger'!$F$2:$F$745,'ledger'!$C$2:$C$745,"=uk",'ledger'!$D$2:$D$745,"=company",'ledger'!$E$2:$E$745,"=professional_fees",'ledger'!$G$2:$G$745,"mar26")</f>
        <v>0</v>
      </c>
      <c r="G152" s="4">
        <f>SUMIFS('ledger'!$F$2:$F$745,'ledger'!$C$2:$C$745,"=uk",'ledger'!$D$2:$D$745,"=company",'ledger'!$E$2:$E$745,"=professional_fees",'ledger'!$G$2:$G$745,"apr26")</f>
        <v>0</v>
      </c>
      <c r="H152" s="4">
        <f>SUMIFS('ledger'!$F$2:$F$745,'ledger'!$C$2:$C$745,"=uk",'ledger'!$D$2:$D$745,"=company",'ledger'!$E$2:$E$745,"=professional_fees",'ledger'!$G$2:$G$745,"may26")</f>
        <v>0</v>
      </c>
      <c r="I152" s="4">
        <f>SUMIFS('ledger'!$F$2:$F$745,'ledger'!$C$2:$C$745,"=uk",'ledger'!$D$2:$D$745,"=company",'ledger'!$E$2:$E$745,"=professional_fees",'ledger'!$G$2:$G$745,"jun26")</f>
        <v>0</v>
      </c>
      <c r="J152" s="4">
        <f>SUMIFS('ledger'!$F$2:$F$745,'ledger'!$C$2:$C$745,"=uk",'ledger'!$D$2:$D$745,"=company",'ledger'!$E$2:$E$745,"=professional_fees",'ledger'!$G$2:$G$745,"jul26")</f>
        <v>0</v>
      </c>
      <c r="K152" s="4">
        <f>SUMIFS('ledger'!$F$2:$F$745,'ledger'!$C$2:$C$745,"=uk",'ledger'!$D$2:$D$745,"=company",'ledger'!$E$2:$E$745,"=professional_fees",'ledger'!$G$2:$G$745,"aug26")</f>
        <v>0</v>
      </c>
      <c r="L152" s="4">
        <f>(K152*(1+'Forecast drivers'!J9))</f>
        <v>0</v>
      </c>
      <c r="M152" s="4">
        <f>(L152*(1+'Forecast drivers'!K9))</f>
        <v>0</v>
      </c>
      <c r="N152" s="4">
        <f>(M152*(1+'Forecast drivers'!L9))</f>
        <v>0</v>
      </c>
      <c r="O152" s="4">
        <f>(N152*(1+'Forecast drivers'!M9))</f>
        <v>0</v>
      </c>
    </row>
    <row r="153">
      <c r="A153" s="0" t="inlineStr">
        <is>
          <t xml:space="preserve">Professional fees</t>
        </is>
      </c>
      <c r="B153" s="0" t="inlineStr">
        <is>
          <t xml:space="preserve">United Kingdom</t>
        </is>
      </c>
      <c r="C153" s="0" t="inlineStr">
        <is>
          <t xml:space="preserve">Sales</t>
        </is>
      </c>
      <c r="D153" s="4">
        <f>SUMIFS('ledger'!$F$2:$F$745,'ledger'!$C$2:$C$745,"=uk",'ledger'!$D$2:$D$745,"=sales",'ledger'!$E$2:$E$745,"=professional_fees",'ledger'!$G$2:$G$745,"jan26")</f>
        <v>0</v>
      </c>
      <c r="E153" s="4">
        <f>SUMIFS('ledger'!$F$2:$F$745,'ledger'!$C$2:$C$745,"=uk",'ledger'!$D$2:$D$745,"=sales",'ledger'!$E$2:$E$745,"=professional_fees",'ledger'!$G$2:$G$745,"feb26")</f>
        <v>0</v>
      </c>
      <c r="F153" s="4">
        <f>SUMIFS('ledger'!$F$2:$F$745,'ledger'!$C$2:$C$745,"=uk",'ledger'!$D$2:$D$745,"=sales",'ledger'!$E$2:$E$745,"=professional_fees",'ledger'!$G$2:$G$745,"mar26")</f>
        <v>0</v>
      </c>
      <c r="G153" s="4">
        <f>SUMIFS('ledger'!$F$2:$F$745,'ledger'!$C$2:$C$745,"=uk",'ledger'!$D$2:$D$745,"=sales",'ledger'!$E$2:$E$745,"=professional_fees",'ledger'!$G$2:$G$745,"apr26")</f>
        <v>0</v>
      </c>
      <c r="H153" s="4">
        <f>SUMIFS('ledger'!$F$2:$F$745,'ledger'!$C$2:$C$745,"=uk",'ledger'!$D$2:$D$745,"=sales",'ledger'!$E$2:$E$745,"=professional_fees",'ledger'!$G$2:$G$745,"may26")</f>
        <v>0</v>
      </c>
      <c r="I153" s="4">
        <f>SUMIFS('ledger'!$F$2:$F$745,'ledger'!$C$2:$C$745,"=uk",'ledger'!$D$2:$D$745,"=sales",'ledger'!$E$2:$E$745,"=professional_fees",'ledger'!$G$2:$G$745,"jun26")</f>
        <v>0</v>
      </c>
      <c r="J153" s="4">
        <f>SUMIFS('ledger'!$F$2:$F$745,'ledger'!$C$2:$C$745,"=uk",'ledger'!$D$2:$D$745,"=sales",'ledger'!$E$2:$E$745,"=professional_fees",'ledger'!$G$2:$G$745,"jul26")</f>
        <v>0</v>
      </c>
      <c r="K153" s="4">
        <f>SUMIFS('ledger'!$F$2:$F$745,'ledger'!$C$2:$C$745,"=uk",'ledger'!$D$2:$D$745,"=sales",'ledger'!$E$2:$E$745,"=professional_fees",'ledger'!$G$2:$G$745,"aug26")</f>
        <v>0</v>
      </c>
      <c r="L153" s="4">
        <f>(K153*(1+'Forecast drivers'!J9))</f>
        <v>0</v>
      </c>
      <c r="M153" s="4">
        <f>(L153*(1+'Forecast drivers'!K9))</f>
        <v>0</v>
      </c>
      <c r="N153" s="4">
        <f>(M153*(1+'Forecast drivers'!L9))</f>
        <v>0</v>
      </c>
      <c r="O153" s="4">
        <f>(N153*(1+'Forecast drivers'!M9))</f>
        <v>0</v>
      </c>
    </row>
    <row r="154">
      <c r="A154" s="0" t="inlineStr">
        <is>
          <t xml:space="preserve">Professional fees</t>
        </is>
      </c>
      <c r="B154" s="0" t="inlineStr">
        <is>
          <t xml:space="preserve">United Kingdom</t>
        </is>
      </c>
      <c r="C154" s="0" t="inlineStr">
        <is>
          <t xml:space="preserve">Marketing</t>
        </is>
      </c>
      <c r="D154" s="4">
        <f>SUMIFS('ledger'!$F$2:$F$745,'ledger'!$C$2:$C$745,"=uk",'ledger'!$D$2:$D$745,"=marketing",'ledger'!$E$2:$E$745,"=professional_fees",'ledger'!$G$2:$G$745,"jan26")</f>
        <v>0</v>
      </c>
      <c r="E154" s="4">
        <f>SUMIFS('ledger'!$F$2:$F$745,'ledger'!$C$2:$C$745,"=uk",'ledger'!$D$2:$D$745,"=marketing",'ledger'!$E$2:$E$745,"=professional_fees",'ledger'!$G$2:$G$745,"feb26")</f>
        <v>0</v>
      </c>
      <c r="F154" s="4">
        <f>SUMIFS('ledger'!$F$2:$F$745,'ledger'!$C$2:$C$745,"=uk",'ledger'!$D$2:$D$745,"=marketing",'ledger'!$E$2:$E$745,"=professional_fees",'ledger'!$G$2:$G$745,"mar26")</f>
        <v>0</v>
      </c>
      <c r="G154" s="4">
        <f>SUMIFS('ledger'!$F$2:$F$745,'ledger'!$C$2:$C$745,"=uk",'ledger'!$D$2:$D$745,"=marketing",'ledger'!$E$2:$E$745,"=professional_fees",'ledger'!$G$2:$G$745,"apr26")</f>
        <v>0</v>
      </c>
      <c r="H154" s="4">
        <f>SUMIFS('ledger'!$F$2:$F$745,'ledger'!$C$2:$C$745,"=uk",'ledger'!$D$2:$D$745,"=marketing",'ledger'!$E$2:$E$745,"=professional_fees",'ledger'!$G$2:$G$745,"may26")</f>
        <v>0</v>
      </c>
      <c r="I154" s="4">
        <f>SUMIFS('ledger'!$F$2:$F$745,'ledger'!$C$2:$C$745,"=uk",'ledger'!$D$2:$D$745,"=marketing",'ledger'!$E$2:$E$745,"=professional_fees",'ledger'!$G$2:$G$745,"jun26")</f>
        <v>0</v>
      </c>
      <c r="J154" s="4">
        <f>SUMIFS('ledger'!$F$2:$F$745,'ledger'!$C$2:$C$745,"=uk",'ledger'!$D$2:$D$745,"=marketing",'ledger'!$E$2:$E$745,"=professional_fees",'ledger'!$G$2:$G$745,"jul26")</f>
        <v>0</v>
      </c>
      <c r="K154" s="4">
        <f>SUMIFS('ledger'!$F$2:$F$745,'ledger'!$C$2:$C$745,"=uk",'ledger'!$D$2:$D$745,"=marketing",'ledger'!$E$2:$E$745,"=professional_fees",'ledger'!$G$2:$G$745,"aug26")</f>
        <v>0</v>
      </c>
      <c r="L154" s="4">
        <f>(K154*(1+'Forecast drivers'!J9))</f>
        <v>0</v>
      </c>
      <c r="M154" s="4">
        <f>(L154*(1+'Forecast drivers'!K9))</f>
        <v>0</v>
      </c>
      <c r="N154" s="4">
        <f>(M154*(1+'Forecast drivers'!L9))</f>
        <v>0</v>
      </c>
      <c r="O154" s="4">
        <f>(N154*(1+'Forecast drivers'!M9))</f>
        <v>0</v>
      </c>
    </row>
    <row r="155">
      <c r="A155" s="0" t="inlineStr">
        <is>
          <t xml:space="preserve">Professional fees</t>
        </is>
      </c>
      <c r="B155" s="0" t="inlineStr">
        <is>
          <t xml:space="preserve">United Kingdom</t>
        </is>
      </c>
      <c r="C155" s="0" t="inlineStr">
        <is>
          <t xml:space="preserve">Engineering</t>
        </is>
      </c>
      <c r="D155" s="4">
        <f>SUMIFS('ledger'!$F$2:$F$745,'ledger'!$C$2:$C$745,"=uk",'ledger'!$D$2:$D$745,"=engineering",'ledger'!$E$2:$E$745,"=professional_fees",'ledger'!$G$2:$G$745,"jan26")</f>
        <v>0</v>
      </c>
      <c r="E155" s="4">
        <f>SUMIFS('ledger'!$F$2:$F$745,'ledger'!$C$2:$C$745,"=uk",'ledger'!$D$2:$D$745,"=engineering",'ledger'!$E$2:$E$745,"=professional_fees",'ledger'!$G$2:$G$745,"feb26")</f>
        <v>0</v>
      </c>
      <c r="F155" s="4">
        <f>SUMIFS('ledger'!$F$2:$F$745,'ledger'!$C$2:$C$745,"=uk",'ledger'!$D$2:$D$745,"=engineering",'ledger'!$E$2:$E$745,"=professional_fees",'ledger'!$G$2:$G$745,"mar26")</f>
        <v>0</v>
      </c>
      <c r="G155" s="4">
        <f>SUMIFS('ledger'!$F$2:$F$745,'ledger'!$C$2:$C$745,"=uk",'ledger'!$D$2:$D$745,"=engineering",'ledger'!$E$2:$E$745,"=professional_fees",'ledger'!$G$2:$G$745,"apr26")</f>
        <v>0</v>
      </c>
      <c r="H155" s="4">
        <f>SUMIFS('ledger'!$F$2:$F$745,'ledger'!$C$2:$C$745,"=uk",'ledger'!$D$2:$D$745,"=engineering",'ledger'!$E$2:$E$745,"=professional_fees",'ledger'!$G$2:$G$745,"may26")</f>
        <v>0</v>
      </c>
      <c r="I155" s="4">
        <f>SUMIFS('ledger'!$F$2:$F$745,'ledger'!$C$2:$C$745,"=uk",'ledger'!$D$2:$D$745,"=engineering",'ledger'!$E$2:$E$745,"=professional_fees",'ledger'!$G$2:$G$745,"jun26")</f>
        <v>0</v>
      </c>
      <c r="J155" s="4">
        <f>SUMIFS('ledger'!$F$2:$F$745,'ledger'!$C$2:$C$745,"=uk",'ledger'!$D$2:$D$745,"=engineering",'ledger'!$E$2:$E$745,"=professional_fees",'ledger'!$G$2:$G$745,"jul26")</f>
        <v>0</v>
      </c>
      <c r="K155" s="4">
        <f>SUMIFS('ledger'!$F$2:$F$745,'ledger'!$C$2:$C$745,"=uk",'ledger'!$D$2:$D$745,"=engineering",'ledger'!$E$2:$E$745,"=professional_fees",'ledger'!$G$2:$G$745,"aug26")</f>
        <v>0</v>
      </c>
      <c r="L155" s="4">
        <f>(K155*(1+'Forecast drivers'!J9))</f>
        <v>0</v>
      </c>
      <c r="M155" s="4">
        <f>(L155*(1+'Forecast drivers'!K9))</f>
        <v>0</v>
      </c>
      <c r="N155" s="4">
        <f>(M155*(1+'Forecast drivers'!L9))</f>
        <v>0</v>
      </c>
      <c r="O155" s="4">
        <f>(N155*(1+'Forecast drivers'!M9))</f>
        <v>0</v>
      </c>
    </row>
    <row r="156">
      <c r="A156" s="0" t="inlineStr">
        <is>
          <t xml:space="preserve">Professional fees</t>
        </is>
      </c>
      <c r="B156" s="0" t="inlineStr">
        <is>
          <t xml:space="preserve">United Kingdom</t>
        </is>
      </c>
      <c r="C156" s="0" t="inlineStr">
        <is>
          <t xml:space="preserve">Customer success</t>
        </is>
      </c>
      <c r="D156" s="4">
        <f>SUMIFS('ledger'!$F$2:$F$745,'ledger'!$C$2:$C$745,"=uk",'ledger'!$D$2:$D$745,"=customer_success",'ledger'!$E$2:$E$745,"=professional_fees",'ledger'!$G$2:$G$745,"jan26")</f>
        <v>0</v>
      </c>
      <c r="E156" s="4">
        <f>SUMIFS('ledger'!$F$2:$F$745,'ledger'!$C$2:$C$745,"=uk",'ledger'!$D$2:$D$745,"=customer_success",'ledger'!$E$2:$E$745,"=professional_fees",'ledger'!$G$2:$G$745,"feb26")</f>
        <v>0</v>
      </c>
      <c r="F156" s="4">
        <f>SUMIFS('ledger'!$F$2:$F$745,'ledger'!$C$2:$C$745,"=uk",'ledger'!$D$2:$D$745,"=customer_success",'ledger'!$E$2:$E$745,"=professional_fees",'ledger'!$G$2:$G$745,"mar26")</f>
        <v>0</v>
      </c>
      <c r="G156" s="4">
        <f>SUMIFS('ledger'!$F$2:$F$745,'ledger'!$C$2:$C$745,"=uk",'ledger'!$D$2:$D$745,"=customer_success",'ledger'!$E$2:$E$745,"=professional_fees",'ledger'!$G$2:$G$745,"apr26")</f>
        <v>0</v>
      </c>
      <c r="H156" s="4">
        <f>SUMIFS('ledger'!$F$2:$F$745,'ledger'!$C$2:$C$745,"=uk",'ledger'!$D$2:$D$745,"=customer_success",'ledger'!$E$2:$E$745,"=professional_fees",'ledger'!$G$2:$G$745,"may26")</f>
        <v>0</v>
      </c>
      <c r="I156" s="4">
        <f>SUMIFS('ledger'!$F$2:$F$745,'ledger'!$C$2:$C$745,"=uk",'ledger'!$D$2:$D$745,"=customer_success",'ledger'!$E$2:$E$745,"=professional_fees",'ledger'!$G$2:$G$745,"jun26")</f>
        <v>0</v>
      </c>
      <c r="J156" s="4">
        <f>SUMIFS('ledger'!$F$2:$F$745,'ledger'!$C$2:$C$745,"=uk",'ledger'!$D$2:$D$745,"=customer_success",'ledger'!$E$2:$E$745,"=professional_fees",'ledger'!$G$2:$G$745,"jul26")</f>
        <v>0</v>
      </c>
      <c r="K156" s="4">
        <f>SUMIFS('ledger'!$F$2:$F$745,'ledger'!$C$2:$C$745,"=uk",'ledger'!$D$2:$D$745,"=customer_success",'ledger'!$E$2:$E$745,"=professional_fees",'ledger'!$G$2:$G$745,"aug26")</f>
        <v>0</v>
      </c>
      <c r="L156" s="4">
        <f>(K156*(1+'Forecast drivers'!J9))</f>
        <v>0</v>
      </c>
      <c r="M156" s="4">
        <f>(L156*(1+'Forecast drivers'!K9))</f>
        <v>0</v>
      </c>
      <c r="N156" s="4">
        <f>(M156*(1+'Forecast drivers'!L9))</f>
        <v>0</v>
      </c>
      <c r="O156" s="4">
        <f>(N156*(1+'Forecast drivers'!M9))</f>
        <v>0</v>
      </c>
    </row>
    <row r="157">
      <c r="A157" s="0" t="inlineStr">
        <is>
          <t xml:space="preserve">Professional fees</t>
        </is>
      </c>
      <c r="B157" s="0" t="inlineStr">
        <is>
          <t xml:space="preserve">United Kingdom</t>
        </is>
      </c>
      <c r="C157" s="0" t="inlineStr">
        <is>
          <t xml:space="preserve">G&amp;A</t>
        </is>
      </c>
      <c r="D157" s="8">
        <f>SUMIFS('ledger'!$F$2:$F$745,'ledger'!$C$2:$C$745,"=uk",'ledger'!$D$2:$D$745,"=g_and_a",'ledger'!$E$2:$E$745,"=professional_fees",'ledger'!$G$2:$G$745,"jan26")</f>
        <v>-14770</v>
      </c>
      <c r="E157" s="8">
        <f>SUMIFS('ledger'!$F$2:$F$745,'ledger'!$C$2:$C$745,"=uk",'ledger'!$D$2:$D$745,"=g_and_a",'ledger'!$E$2:$E$745,"=professional_fees",'ledger'!$G$2:$G$745,"feb26")</f>
        <v>-14668</v>
      </c>
      <c r="F157" s="8">
        <f>SUMIFS('ledger'!$F$2:$F$745,'ledger'!$C$2:$C$745,"=uk",'ledger'!$D$2:$D$745,"=g_and_a",'ledger'!$E$2:$E$745,"=professional_fees",'ledger'!$G$2:$G$745,"mar26")</f>
        <v>-14492</v>
      </c>
      <c r="G157" s="8">
        <f>SUMIFS('ledger'!$F$2:$F$745,'ledger'!$C$2:$C$745,"=uk",'ledger'!$D$2:$D$745,"=g_and_a",'ledger'!$E$2:$E$745,"=professional_fees",'ledger'!$G$2:$G$745,"apr26")</f>
        <v>-13957</v>
      </c>
      <c r="H157" s="8">
        <f>SUMIFS('ledger'!$F$2:$F$745,'ledger'!$C$2:$C$745,"=uk",'ledger'!$D$2:$D$745,"=g_and_a",'ledger'!$E$2:$E$745,"=professional_fees",'ledger'!$G$2:$G$745,"may26")</f>
        <v>-15437</v>
      </c>
      <c r="I157" s="8">
        <f>SUMIFS('ledger'!$F$2:$F$745,'ledger'!$C$2:$C$745,"=uk",'ledger'!$D$2:$D$745,"=g_and_a",'ledger'!$E$2:$E$745,"=professional_fees",'ledger'!$G$2:$G$745,"jun26")</f>
        <v>-15632</v>
      </c>
      <c r="J157" s="8">
        <f>SUMIFS('ledger'!$F$2:$F$745,'ledger'!$C$2:$C$745,"=uk",'ledger'!$D$2:$D$745,"=g_and_a",'ledger'!$E$2:$E$745,"=professional_fees",'ledger'!$G$2:$G$745,"jul26")</f>
        <v>-15403</v>
      </c>
      <c r="K157" s="8">
        <f>SUMIFS('ledger'!$F$2:$F$745,'ledger'!$C$2:$C$745,"=uk",'ledger'!$D$2:$D$745,"=g_and_a",'ledger'!$E$2:$E$745,"=professional_fees",'ledger'!$G$2:$G$745,"aug26")</f>
        <v>-14228</v>
      </c>
      <c r="L157" s="8">
        <f>(K157*(1+'Forecast drivers'!J9))</f>
        <v>-14313.368</v>
      </c>
      <c r="M157" s="8">
        <f>(L157*(1+'Forecast drivers'!K9))</f>
        <v>-14399.248208</v>
      </c>
      <c r="N157" s="8">
        <f>(M157*(1+'Forecast drivers'!L9))</f>
        <v>-14485.643697248</v>
      </c>
      <c r="O157" s="8">
        <f>(N157*(1+'Forecast drivers'!M9))</f>
        <v>-14572.557559431489</v>
      </c>
    </row>
    <row r="158">
      <c r="A158" s="0" t="inlineStr">
        <is>
          <t xml:space="preserve">Net</t>
        </is>
      </c>
      <c r="B158" s="0" t="inlineStr">
        <is>
          <t xml:space="preserve">United States</t>
        </is>
      </c>
      <c r="C158" s="0" t="inlineStr">
        <is>
          <t xml:space="preserve">Company (revenue and cost of revenue)</t>
        </is>
      </c>
      <c r="D158" s="8">
        <f>SUM(D2,D14,D26,D38,D50,D62,D74,D86,D98,D110,D122,D134,D146)</f>
        <v>3430742</v>
      </c>
      <c r="E158" s="8">
        <f>SUM(E2,E14,E26,E38,E50,E62,E74,E86,E98,E110,E122,E134,E146)</f>
        <v>3585768</v>
      </c>
      <c r="F158" s="8">
        <f>SUM(F2,F14,F26,F38,F50,F62,F74,F86,F98,F110,F122,F134,F146)</f>
        <v>3661530</v>
      </c>
      <c r="G158" s="8">
        <f>SUM(G2,G14,G26,G38,G50,G62,G74,G86,G98,G110,G122,G134,G146)</f>
        <v>3678361</v>
      </c>
      <c r="H158" s="8">
        <f>SUM(H2,H14,H26,H38,H50,H62,H74,H86,H98,H110,H122,H134,H146)</f>
        <v>3649028</v>
      </c>
      <c r="I158" s="8">
        <f>SUM(I2,I14,I26,I38,I50,I62,I74,I86,I98,I110,I122,I134,I146)</f>
        <v>3928704</v>
      </c>
      <c r="J158" s="8">
        <f>SUM(J2,J14,J26,J38,J50,J62,J74,J86,J98,J110,J122,J134,J146)</f>
        <v>3656009</v>
      </c>
      <c r="K158" s="8">
        <f>SUM(K2,K14,K26,K38,K50,K62,K74,K86,K98,K110,K122,K134,K146)</f>
        <v>3756291</v>
      </c>
      <c r="L158" s="8">
        <f>SUM(L2,L14,L26,L38,L50,L62,L74,L86,L98,L110,L122,L134,L146)</f>
        <v>3847840.5471929996</v>
      </c>
      <c r="M158" s="8">
        <f>SUM(M2,M14,M26,M38,M50,M62,M74,M86,M98,M110,M122,M134,M146)</f>
        <v>3920949.5175896664</v>
      </c>
      <c r="N158" s="8">
        <f>SUM(N2,N14,N26,N38,N50,N62,N74,N86,N98,N110,N122,N134,N146)</f>
        <v>3995447.55842387</v>
      </c>
      <c r="O158" s="8">
        <f>SUM(O2,O14,O26,O38,O50,O62,O74,O86,O98,O110,O122,O134,O146)</f>
        <v>4071361.0620339233</v>
      </c>
    </row>
    <row r="159">
      <c r="A159" s="0" t="inlineStr">
        <is>
          <t xml:space="preserve">Net</t>
        </is>
      </c>
      <c r="B159" s="0" t="inlineStr">
        <is>
          <t xml:space="preserve">United States</t>
        </is>
      </c>
      <c r="C159" s="0" t="inlineStr">
        <is>
          <t xml:space="preserve">Sales</t>
        </is>
      </c>
      <c r="D159" s="8">
        <f>SUM(D3,D15,D27,D39,D51,D63,D75,D87,D99,D111,D123,D135,D147)</f>
        <v>-614892</v>
      </c>
      <c r="E159" s="8">
        <f>SUM(E3,E15,E27,E39,E51,E63,E75,E87,E99,E111,E123,E135,E147)</f>
        <v>-645531</v>
      </c>
      <c r="F159" s="8">
        <f>SUM(F3,F15,F27,F39,F51,F63,F75,F87,F99,F111,F123,F135,F147)</f>
        <v>-625817</v>
      </c>
      <c r="G159" s="8">
        <f>SUM(G3,G15,G27,G39,G51,G63,G75,G87,G99,G111,G123,G135,G147)</f>
        <v>-653259</v>
      </c>
      <c r="H159" s="8">
        <f>SUM(H3,H15,H27,H39,H51,H63,H75,H87,H99,H111,H123,H135,H147)</f>
        <v>-690232</v>
      </c>
      <c r="I159" s="8">
        <f>SUM(I3,I15,I27,I39,I51,I63,I75,I87,I99,I111,I123,I135,I147)</f>
        <v>-693079</v>
      </c>
      <c r="J159" s="8">
        <f>SUM(J3,J15,J27,J39,J51,J63,J75,J87,J99,J111,J123,J135,J147)</f>
        <v>-689099</v>
      </c>
      <c r="K159" s="8">
        <f>SUM(K3,K15,K27,K39,K51,K63,K75,K87,K99,K111,K123,K135,K147)</f>
        <v>-683471</v>
      </c>
      <c r="L159" s="8">
        <f>SUM(L3,L15,L27,L39,L51,L63,L75,L87,L99,L111,L123,L135,L147)</f>
        <v>-749702.3000409999</v>
      </c>
      <c r="M159" s="8">
        <f>SUM(M3,M15,M27,M39,M51,M63,M75,M87,M99,M111,M123,M135,M147)</f>
        <v>-770817.677173779</v>
      </c>
      <c r="N159" s="8">
        <f>SUM(N3,N15,N27,N39,N51,N63,N75,N87,N99,N111,N123,N135,N147)</f>
        <v>-775320.8455776728</v>
      </c>
      <c r="O159" s="8">
        <f>SUM(O3,O15,O27,O39,O51,O63,O75,O87,O99,O111,O123,O135,O147)</f>
        <v>-796598.308326466</v>
      </c>
    </row>
    <row r="160">
      <c r="A160" s="0" t="inlineStr">
        <is>
          <t xml:space="preserve">Net</t>
        </is>
      </c>
      <c r="B160" s="0" t="inlineStr">
        <is>
          <t xml:space="preserve">United States</t>
        </is>
      </c>
      <c r="C160" s="0" t="inlineStr">
        <is>
          <t xml:space="preserve">Marketing</t>
        </is>
      </c>
      <c r="D160" s="8">
        <f>SUM(D4,D16,D28,D40,D52,D64,D76,D88,D100,D112,D124,D136,D148)</f>
        <v>-473456</v>
      </c>
      <c r="E160" s="8">
        <f>SUM(E4,E16,E28,E40,E52,E64,E76,E88,E100,E112,E124,E136,E148)</f>
        <v>-499080</v>
      </c>
      <c r="F160" s="8">
        <f>SUM(F4,F16,F28,F40,F52,F64,F76,F88,F100,F112,F124,F136,F148)</f>
        <v>-557625</v>
      </c>
      <c r="G160" s="8">
        <f>SUM(G4,G16,G28,G40,G52,G64,G76,G88,G100,G112,G124,G136,G148)</f>
        <v>-522561</v>
      </c>
      <c r="H160" s="8">
        <f>SUM(H4,H16,H28,H40,H52,H64,H76,H88,H100,H112,H124,H136,H148)</f>
        <v>-548495</v>
      </c>
      <c r="I160" s="8">
        <f>SUM(I4,I16,I28,I40,I52,I64,I76,I88,I100,I112,I124,I136,I148)</f>
        <v>-553318</v>
      </c>
      <c r="J160" s="8">
        <f>SUM(J4,J16,J28,J40,J52,J64,J76,J88,J100,J112,J124,J136,J148)</f>
        <v>-550645</v>
      </c>
      <c r="K160" s="8">
        <f>SUM(K4,K16,K28,K40,K52,K64,K76,K88,K100,K112,K124,K136,K148)</f>
        <v>-523293</v>
      </c>
      <c r="L160" s="8">
        <f>SUM(L4,L16,L28,L40,L52,L64,L76,L88,L100,L112,L124,L136,L148)</f>
        <v>-565327.0380156665</v>
      </c>
      <c r="M160" s="8">
        <f>SUM(M4,M16,M28,M40,M52,M64,M76,M88,M100,M112,M124,M136,M148)</f>
        <v>-586943.7268026309</v>
      </c>
      <c r="N160" s="8">
        <f>SUM(N4,N16,N28,N40,N52,N64,N76,N88,N100,N112,N124,N136,N148)</f>
        <v>-594536.7296802689</v>
      </c>
      <c r="O160" s="8">
        <f>SUM(O4,O16,O28,O40,O52,O64,O76,O88,O100,O112,O124,O136,O148)</f>
        <v>-602272.0214849922</v>
      </c>
    </row>
    <row r="161">
      <c r="A161" s="0" t="inlineStr">
        <is>
          <t xml:space="preserve">Net</t>
        </is>
      </c>
      <c r="B161" s="0" t="inlineStr">
        <is>
          <t xml:space="preserve">United States</t>
        </is>
      </c>
      <c r="C161" s="0" t="inlineStr">
        <is>
          <t xml:space="preserve">Engineering</t>
        </is>
      </c>
      <c r="D161" s="8">
        <f>SUM(D5,D17,D29,D41,D53,D65,D77,D89,D101,D113,D125,D137,D149)</f>
        <v>-1157408</v>
      </c>
      <c r="E161" s="8">
        <f>SUM(E5,E17,E29,E41,E53,E65,E77,E89,E101,E113,E125,E137,E149)</f>
        <v>-1239489</v>
      </c>
      <c r="F161" s="8">
        <f>SUM(F5,F17,F29,F41,F53,F65,F77,F89,F101,F113,F125,F137,F149)</f>
        <v>-1297740</v>
      </c>
      <c r="G161" s="8">
        <f>SUM(G5,G17,G29,G41,G53,G65,G77,G89,G101,G113,G125,G137,G149)</f>
        <v>-1308696</v>
      </c>
      <c r="H161" s="8">
        <f>SUM(H5,H17,H29,H41,H53,H65,H77,H89,H101,H113,H125,H137,H149)</f>
        <v>-1261328</v>
      </c>
      <c r="I161" s="8">
        <f>SUM(I5,I17,I29,I41,I53,I65,I77,I89,I101,I113,I125,I137,I149)</f>
        <v>-1431989</v>
      </c>
      <c r="J161" s="8">
        <f>SUM(J5,J17,J29,J41,J53,J65,J77,J89,J101,J113,J125,J137,J149)</f>
        <v>-1352217</v>
      </c>
      <c r="K161" s="8">
        <f>SUM(K5,K17,K29,K41,K53,K65,K77,K89,K101,K113,K125,K137,K149)</f>
        <v>-1395748</v>
      </c>
      <c r="L161" s="8">
        <f>SUM(L5,L17,L29,L41,L53,L65,L77,L89,L101,L113,L125,L137,L149)</f>
        <v>-1497668.0762336669</v>
      </c>
      <c r="M161" s="8">
        <f>SUM(M5,M17,M29,M41,M53,M65,M77,M89,M101,M113,M125,M137,M149)</f>
        <v>-1525235.9337321061</v>
      </c>
      <c r="N161" s="8">
        <f>SUM(N5,N17,N29,N41,N53,N65,N77,N89,N101,N113,N125,N137,N149)</f>
        <v>-1552955.6578806494</v>
      </c>
      <c r="O161" s="8">
        <f>SUM(O5,O17,O29,O41,O53,O65,O77,O89,O101,O113,O125,O137,O149)</f>
        <v>-1580830.0938797945</v>
      </c>
    </row>
    <row r="162">
      <c r="A162" s="0" t="inlineStr">
        <is>
          <t xml:space="preserve">Net</t>
        </is>
      </c>
      <c r="B162" s="0" t="inlineStr">
        <is>
          <t xml:space="preserve">United States</t>
        </is>
      </c>
      <c r="C162" s="0" t="inlineStr">
        <is>
          <t xml:space="preserve">Customer success</t>
        </is>
      </c>
      <c r="D162" s="8">
        <f>SUM(D6,D18,D30,D42,D54,D66,D78,D90,D102,D114,D126,D138,D150)</f>
        <v>-130297</v>
      </c>
      <c r="E162" s="8">
        <f>SUM(E6,E18,E30,E42,E54,E66,E78,E90,E102,E114,E126,E138,E150)</f>
        <v>-166429</v>
      </c>
      <c r="F162" s="8">
        <f>SUM(F6,F18,F30,F42,F54,F66,F78,F90,F102,F114,F126,F138,F150)</f>
        <v>-156996</v>
      </c>
      <c r="G162" s="8">
        <f>SUM(G6,G18,G30,G42,G54,G66,G78,G90,G102,G114,G126,G138,G150)</f>
        <v>-162631</v>
      </c>
      <c r="H162" s="8">
        <f>SUM(H6,H18,H30,H42,H54,H66,H78,H90,H102,H114,H126,H138,H150)</f>
        <v>-161625</v>
      </c>
      <c r="I162" s="8">
        <f>SUM(I6,I18,I30,I42,I54,I66,I78,I90,I102,I114,I126,I138,I150)</f>
        <v>-168787</v>
      </c>
      <c r="J162" s="8">
        <f>SUM(J6,J18,J30,J42,J54,J66,J78,J90,J102,J114,J126,J138,J150)</f>
        <v>-172197</v>
      </c>
      <c r="K162" s="8">
        <f>SUM(K6,K18,K30,K42,K54,K66,K78,K90,K102,K114,K126,K138,K150)</f>
        <v>-186986</v>
      </c>
      <c r="L162" s="8">
        <f>SUM(L6,L18,L30,L42,L54,L66,L78,L90,L102,L114,L126,L138,L150)</f>
        <v>-177805.896</v>
      </c>
      <c r="M162" s="8">
        <f>SUM(M6,M18,M30,M42,M54,M66,M78,M90,M102,M114,M126,M138,M150)</f>
        <v>-188999.5147093333</v>
      </c>
      <c r="N162" s="8">
        <f>SUM(N6,N18,N30,N42,N54,N66,N78,N90,N102,N114,N126,N138,N150)</f>
        <v>-189065.1917975893</v>
      </c>
      <c r="O162" s="8">
        <f>SUM(O6,O18,O30,O42,O54,O66,O78,O90,O102,O114,O126,O138,O150)</f>
        <v>-189131.26294837485</v>
      </c>
    </row>
    <row r="163">
      <c r="A163" s="0" t="inlineStr">
        <is>
          <t xml:space="preserve">Net</t>
        </is>
      </c>
      <c r="B163" s="0" t="inlineStr">
        <is>
          <t xml:space="preserve">United States</t>
        </is>
      </c>
      <c r="C163" s="0" t="inlineStr">
        <is>
          <t xml:space="preserve">G&amp;A</t>
        </is>
      </c>
      <c r="D163" s="8">
        <f>SUM(D7,D19,D31,D43,D55,D67,D79,D91,D103,D115,D127,D139,D151)</f>
        <v>-276524</v>
      </c>
      <c r="E163" s="8">
        <f>SUM(E7,E19,E31,E43,E55,E67,E79,E91,E103,E115,E127,E139,E151)</f>
        <v>-297294</v>
      </c>
      <c r="F163" s="8">
        <f>SUM(F7,F19,F31,F43,F55,F67,F79,F91,F103,F115,F127,F139,F151)</f>
        <v>-287555</v>
      </c>
      <c r="G163" s="8">
        <f>SUM(G7,G19,G31,G43,G55,G67,G79,G91,G103,G115,G127,G139,G151)</f>
        <v>-308530</v>
      </c>
      <c r="H163" s="8">
        <f>SUM(H7,H19,H31,H43,H55,H67,H79,H91,H103,H115,H127,H139,H151)</f>
        <v>-304761</v>
      </c>
      <c r="I163" s="8">
        <f>SUM(I7,I19,I31,I43,I55,I67,I79,I91,I103,I115,I127,I139,I151)</f>
        <v>-306873</v>
      </c>
      <c r="J163" s="8">
        <f>SUM(J7,J19,J31,J43,J55,J67,J79,J91,J103,J115,J127,J139,J151)</f>
        <v>-327798</v>
      </c>
      <c r="K163" s="8">
        <f>SUM(K7,K19,K31,K43,K55,K67,K79,K91,K103,K115,K127,K139,K151)</f>
        <v>-314040</v>
      </c>
      <c r="L163" s="8">
        <f>SUM(L7,L19,L31,L43,L55,L67,L79,L91,L103,L115,L127,L139,L151)</f>
        <v>-329597.708</v>
      </c>
      <c r="M163" s="8">
        <f>SUM(M7,M19,M31,M43,M55,M67,M79,M91,M103,M115,M127,M139,M151)</f>
        <v>-330482.69424800004</v>
      </c>
      <c r="N163" s="8">
        <f>SUM(N7,N19,N31,N43,N55,N67,N79,N91,N103,N115,N127,N139,N151)</f>
        <v>-331372.990413488</v>
      </c>
      <c r="O163" s="8">
        <f>SUM(O7,O19,O31,O43,O55,O67,O79,O91,O103,O115,O127,O139,O151)</f>
        <v>-332268.62835596886</v>
      </c>
    </row>
    <row r="164">
      <c r="A164" s="0" t="inlineStr">
        <is>
          <t xml:space="preserve">Net</t>
        </is>
      </c>
      <c r="B164" s="0" t="inlineStr">
        <is>
          <t xml:space="preserve">United Kingdom</t>
        </is>
      </c>
      <c r="C164" s="0" t="inlineStr">
        <is>
          <t xml:space="preserve">Company (revenue and cost of revenue)</t>
        </is>
      </c>
      <c r="D164" s="8">
        <f>SUM(D8,D20,D32,D44,D56,D68,D80,D92,D104,D116,D128,D140,D152)</f>
        <v>1388465</v>
      </c>
      <c r="E164" s="8">
        <f>SUM(E8,E20,E32,E44,E56,E68,E80,E92,E104,E116,E128,E140,E152)</f>
        <v>1433615</v>
      </c>
      <c r="F164" s="8">
        <f>SUM(F8,F20,F32,F44,F56,F68,F80,F92,F104,F116,F128,F140,F152)</f>
        <v>1467083</v>
      </c>
      <c r="G164" s="8">
        <f>SUM(G8,G20,G32,G44,G56,G68,G80,G92,G104,G116,G128,G140,G152)</f>
        <v>1542206</v>
      </c>
      <c r="H164" s="8">
        <f>SUM(H8,H20,H32,H44,H56,H68,H80,H92,H104,H116,H128,H140,H152)</f>
        <v>1558662</v>
      </c>
      <c r="I164" s="8">
        <f>SUM(I8,I20,I32,I44,I56,I68,I80,I92,I104,I116,I128,I140,I152)</f>
        <v>1633696</v>
      </c>
      <c r="J164" s="8">
        <f>SUM(J8,J20,J32,J44,J56,J68,J80,J92,J104,J116,J128,J140,J152)</f>
        <v>1628320</v>
      </c>
      <c r="K164" s="8">
        <f>SUM(K8,K20,K32,K44,K56,K68,K80,K92,K104,K116,K128,K140,K152)</f>
        <v>1598085</v>
      </c>
      <c r="L164" s="8">
        <f>SUM(L8,L20,L32,L44,L56,L68,L80,L92,L104,L116,L128,L140,L152)</f>
        <v>1645775.914161</v>
      </c>
      <c r="M164" s="8">
        <f>SUM(M8,M20,M32,M44,M56,M68,M80,M92,M104,M116,M128,M140,M152)</f>
        <v>1677045.6565300585</v>
      </c>
      <c r="N164" s="8">
        <f>SUM(N8,N20,N32,N44,N56,N68,N80,N92,N104,N116,N128,N140,N152)</f>
        <v>1708909.5240041297</v>
      </c>
      <c r="O164" s="8">
        <f>SUM(O8,O20,O32,O44,O56,O68,O80,O92,O104,O116,O128,O140,O152)</f>
        <v>1741378.804960208</v>
      </c>
    </row>
    <row r="165">
      <c r="A165" s="0" t="inlineStr">
        <is>
          <t xml:space="preserve">Net</t>
        </is>
      </c>
      <c r="B165" s="0" t="inlineStr">
        <is>
          <t xml:space="preserve">United Kingdom</t>
        </is>
      </c>
      <c r="C165" s="0" t="inlineStr">
        <is>
          <t xml:space="preserve">Sales</t>
        </is>
      </c>
      <c r="D165" s="8">
        <f>SUM(D9,D21,D33,D45,D57,D69,D81,D93,D105,D117,D129,D141,D153)</f>
        <v>-234449</v>
      </c>
      <c r="E165" s="8">
        <f>SUM(E9,E21,E33,E45,E57,E69,E81,E93,E105,E117,E129,E141,E153)</f>
        <v>-222327</v>
      </c>
      <c r="F165" s="8">
        <f>SUM(F9,F21,F33,F45,F57,F69,F81,F93,F105,F117,F129,F141,F153)</f>
        <v>-237798</v>
      </c>
      <c r="G165" s="8">
        <f>SUM(G9,G21,G33,G45,G57,G69,G81,G93,G105,G117,G129,G141,G153)</f>
        <v>-233161</v>
      </c>
      <c r="H165" s="8">
        <f>SUM(H9,H21,H33,H45,H57,H69,H81,H93,H105,H117,H129,H141,H153)</f>
        <v>-246233</v>
      </c>
      <c r="I165" s="8">
        <f>SUM(I9,I21,I33,I45,I57,I69,I81,I93,I105,I117,I129,I141,I153)</f>
        <v>-236103</v>
      </c>
      <c r="J165" s="8">
        <f>SUM(J9,J21,J33,J45,J57,J69,J81,J93,J105,J117,J129,J141,J153)</f>
        <v>-234200</v>
      </c>
      <c r="K165" s="8">
        <f>SUM(K9,K21,K33,K45,K57,K69,K81,K93,K105,K117,K129,K141,K153)</f>
        <v>-237293</v>
      </c>
      <c r="L165" s="8">
        <f>SUM(L9,L21,L33,L45,L57,L69,L81,L93,L105,L117,L129,L141,L153)</f>
        <v>-284929.9342569999</v>
      </c>
      <c r="M165" s="8">
        <f>SUM(M9,M21,M33,M45,M57,M69,M81,M93,M105,M117,M129,M141,M153)</f>
        <v>-286829.824961883</v>
      </c>
      <c r="N165" s="8">
        <f>SUM(N9,N21,N33,N45,N57,N69,N81,N93,N105,N117,N129,N141,N153)</f>
        <v>-288764.10636188276</v>
      </c>
      <c r="O165" s="8">
        <f>SUM(O9,O21,O33,O45,O57,O69,O81,O93,O105,O117,O129,O141,O153)</f>
        <v>-290733.42163683684</v>
      </c>
    </row>
    <row r="166">
      <c r="A166" s="0" t="inlineStr">
        <is>
          <t xml:space="preserve">Net</t>
        </is>
      </c>
      <c r="B166" s="0" t="inlineStr">
        <is>
          <t xml:space="preserve">United Kingdom</t>
        </is>
      </c>
      <c r="C166" s="0" t="inlineStr">
        <is>
          <t xml:space="preserve">Marketing</t>
        </is>
      </c>
      <c r="D166" s="8">
        <f>SUM(D10,D22,D34,D46,D58,D70,D82,D94,D106,D118,D130,D142,D154)</f>
        <v>-209937</v>
      </c>
      <c r="E166" s="8">
        <f>SUM(E10,E22,E34,E46,E58,E70,E82,E94,E106,E118,E130,E142,E154)</f>
        <v>-206660</v>
      </c>
      <c r="F166" s="8">
        <f>SUM(F10,F22,F34,F46,F58,F70,F82,F94,F106,F118,F130,F142,F154)</f>
        <v>-231151</v>
      </c>
      <c r="G166" s="8">
        <f>SUM(G10,G22,G34,G46,G58,G70,G82,G94,G106,G118,G130,G142,G154)</f>
        <v>-224813</v>
      </c>
      <c r="H166" s="8">
        <f>SUM(H10,H22,H34,H46,H58,H70,H82,H94,H106,H118,H130,H142,H154)</f>
        <v>-234576</v>
      </c>
      <c r="I166" s="8">
        <f>SUM(I10,I22,I34,I46,I58,I70,I82,I94,I106,I118,I130,I142,I154)</f>
        <v>-233070</v>
      </c>
      <c r="J166" s="8">
        <f>SUM(J10,J22,J34,J46,J58,J70,J82,J94,J106,J118,J130,J142,J154)</f>
        <v>-232928</v>
      </c>
      <c r="K166" s="8">
        <f>SUM(K10,K22,K34,K46,K58,K70,K82,K94,K106,K118,K130,K142,K154)</f>
        <v>-244435</v>
      </c>
      <c r="L166" s="8">
        <f>SUM(L10,L22,L34,L46,L58,L70,L82,L94,L106,L118,L130,L142,L154)</f>
        <v>-248123.19577299996</v>
      </c>
      <c r="M166" s="8">
        <f>SUM(M10,M22,M34,M46,M58,M70,M82,M94,M106,M118,M130,M142,M154)</f>
        <v>-251315.471016687</v>
      </c>
      <c r="N166" s="8">
        <f>SUM(N10,N22,N34,N46,N58,N70,N82,N94,N106,N118,N130,N142,N154)</f>
        <v>-254567.50165914802</v>
      </c>
      <c r="O166" s="8">
        <f>SUM(O10,O22,O34,O46,O58,O70,O82,O94,O106,O118,O130,O142,O154)</f>
        <v>-257880.4176659747</v>
      </c>
    </row>
    <row r="167">
      <c r="A167" s="0" t="inlineStr">
        <is>
          <t xml:space="preserve">Net</t>
        </is>
      </c>
      <c r="B167" s="0" t="inlineStr">
        <is>
          <t xml:space="preserve">United Kingdom</t>
        </is>
      </c>
      <c r="C167" s="0" t="inlineStr">
        <is>
          <t xml:space="preserve">Engineering</t>
        </is>
      </c>
      <c r="D167" s="8">
        <f>SUM(D11,D23,D35,D47,D59,D71,D83,D95,D107,D119,D131,D143,D155)</f>
        <v>-443215</v>
      </c>
      <c r="E167" s="8">
        <f>SUM(E11,E23,E35,E47,E59,E71,E83,E95,E107,E119,E131,E143,E155)</f>
        <v>-481226</v>
      </c>
      <c r="F167" s="8">
        <f>SUM(F11,F23,F35,F47,F59,F71,F83,F95,F107,F119,F131,F143,F155)</f>
        <v>-501851</v>
      </c>
      <c r="G167" s="8">
        <f>SUM(G11,G23,G35,G47,G59,G71,G83,G95,G107,G119,G131,G143,G155)</f>
        <v>-506742</v>
      </c>
      <c r="H167" s="8">
        <f>SUM(H11,H23,H35,H47,H59,H71,H83,H95,H107,H119,H131,H143,H155)</f>
        <v>-515949</v>
      </c>
      <c r="I167" s="8">
        <f>SUM(I11,I23,I35,I47,I59,I71,I83,I95,I107,I119,I131,I143,I155)</f>
        <v>-546017</v>
      </c>
      <c r="J167" s="8">
        <f>SUM(J11,J23,J35,J47,J59,J71,J83,J95,J107,J119,J131,J143,J155)</f>
        <v>-583360</v>
      </c>
      <c r="K167" s="8">
        <f>SUM(K11,K23,K35,K47,K59,K71,K83,K95,K107,K119,K131,K143,K155)</f>
        <v>-527641</v>
      </c>
      <c r="L167" s="8">
        <f>SUM(L11,L23,L35,L47,L59,L71,L83,L95,L107,L119,L131,L143,L155)</f>
        <v>-620253.7743589999</v>
      </c>
      <c r="M167" s="8">
        <f>SUM(M11,M23,M35,M47,M59,M71,M83,M95,M107,M119,M131,M143,M155)</f>
        <v>-623808.3582358209</v>
      </c>
      <c r="N167" s="8">
        <f>SUM(N11,N23,N35,N47,N59,N71,N83,N95,N107,N119,N131,N143,N155)</f>
        <v>-643816.8064292856</v>
      </c>
      <c r="O167" s="8">
        <f>SUM(O11,O23,O35,O47,O59,O71,O83,O95,O107,O119,O131,O143,O155)</f>
        <v>-647502.3353247478</v>
      </c>
    </row>
    <row r="168">
      <c r="A168" s="0" t="inlineStr">
        <is>
          <t xml:space="preserve">Net</t>
        </is>
      </c>
      <c r="B168" s="0" t="inlineStr">
        <is>
          <t xml:space="preserve">United Kingdom</t>
        </is>
      </c>
      <c r="C168" s="0" t="inlineStr">
        <is>
          <t xml:space="preserve">Customer success</t>
        </is>
      </c>
      <c r="D168" s="8">
        <f>SUM(D12,D24,D36,D48,D60,D72,D84,D96,D108,D120,D132,D144,D156)</f>
        <v>-53057</v>
      </c>
      <c r="E168" s="8">
        <f>SUM(E12,E24,E36,E48,E60,E72,E84,E96,E108,E120,E132,E144,E156)</f>
        <v>-50364</v>
      </c>
      <c r="F168" s="8">
        <f>SUM(F12,F24,F36,F48,F60,F72,F84,F96,F108,F120,F132,F144,F156)</f>
        <v>-55236</v>
      </c>
      <c r="G168" s="8">
        <f>SUM(G12,G24,G36,G48,G60,G72,G84,G96,G108,G120,G132,G144,G156)</f>
        <v>-51918</v>
      </c>
      <c r="H168" s="8">
        <f>SUM(H12,H24,H36,H48,H60,H72,H84,H96,H108,H120,H132,H144,H156)</f>
        <v>-63450</v>
      </c>
      <c r="I168" s="8">
        <f>SUM(I12,I24,I36,I48,I60,I72,I84,I96,I108,I120,I132,I144,I156)</f>
        <v>-60846</v>
      </c>
      <c r="J168" s="8">
        <f>SUM(J12,J24,J36,J48,J60,J72,J84,J96,J108,J120,J132,J144,J156)</f>
        <v>-61881</v>
      </c>
      <c r="K168" s="8">
        <f>SUM(K12,K24,K36,K48,K60,K72,K84,K96,K108,K120,K132,K144,K156)</f>
        <v>-63231</v>
      </c>
      <c r="L168" s="8">
        <f>SUM(L12,L24,L36,L48,L60,L72,L84,L96,L108,L120,L132,L144,L156)</f>
        <v>-61969.292</v>
      </c>
      <c r="M168" s="8">
        <f>SUM(M12,M24,M36,M48,M60,M72,M84,M96,M108,M120,M132,M144,M156)</f>
        <v>-61998.759752</v>
      </c>
      <c r="N168" s="8">
        <f>SUM(N12,N24,N36,N48,N60,N72,N84,N96,N108,N120,N132,N144,N156)</f>
        <v>-62028.404310512</v>
      </c>
      <c r="O168" s="8">
        <f>SUM(O12,O24,O36,O48,O60,O72,O84,O96,O108,O120,O132,O144,O156)</f>
        <v>-62058.22673637507</v>
      </c>
    </row>
    <row r="169">
      <c r="A169" s="0" t="inlineStr">
        <is>
          <t xml:space="preserve">Net</t>
        </is>
      </c>
      <c r="B169" s="0" t="inlineStr">
        <is>
          <t xml:space="preserve">United Kingdom</t>
        </is>
      </c>
      <c r="C169" s="0" t="inlineStr">
        <is>
          <t xml:space="preserve">G&amp;A</t>
        </is>
      </c>
      <c r="D169" s="8">
        <f>SUM(D13,D25,D37,D49,D61,D73,D85,D97,D109,D121,D133,D145,D157)</f>
        <v>-111202</v>
      </c>
      <c r="E169" s="8">
        <f>SUM(E13,E25,E37,E49,E61,E73,E85,E97,E109,E121,E133,E145,E157)</f>
        <v>-112000</v>
      </c>
      <c r="F169" s="8">
        <f>SUM(F13,F25,F37,F49,F61,F73,F85,F97,F109,F121,F133,F145,F157)</f>
        <v>-116027</v>
      </c>
      <c r="G169" s="8">
        <f>SUM(G13,G25,G37,G49,G61,G73,G85,G97,G109,G121,G133,G145,G157)</f>
        <v>-113591</v>
      </c>
      <c r="H169" s="8">
        <f>SUM(H13,H25,H37,H49,H61,H73,H85,H97,H109,H121,H133,H145,H157)</f>
        <v>-115550</v>
      </c>
      <c r="I169" s="8">
        <f>SUM(I13,I25,I37,I49,I61,I73,I85,I97,I109,I121,I133,I145,I157)</f>
        <v>-113310</v>
      </c>
      <c r="J169" s="8">
        <f>SUM(J13,J25,J37,J49,J61,J73,J85,J97,J109,J121,J133,J145,J157)</f>
        <v>-111481</v>
      </c>
      <c r="K169" s="8">
        <f>SUM(K13,K25,K37,K49,K61,K73,K85,K97,K109,K121,K133,K145,K157)</f>
        <v>-105268</v>
      </c>
      <c r="L169" s="8">
        <f>SUM(L13,L25,L37,L49,L61,L73,L85,L97,L109,L121,L133,L145,L157)</f>
        <v>-120114.89466666667</v>
      </c>
      <c r="M169" s="8">
        <f>SUM(M13,M25,M37,M49,M61,M73,M85,M97,M109,M121,M133,M145,M157)</f>
        <v>-120447.10403466667</v>
      </c>
      <c r="N169" s="8">
        <f>SUM(N13,N25,N37,N49,N61,N73,N85,N97,N109,N121,N133,N145,N157)</f>
        <v>-120781.30665887467</v>
      </c>
      <c r="O169" s="8">
        <f>SUM(O13,O25,O37,O49,O61,O73,O85,O97,O109,O121,O133,O145,O157)</f>
        <v>-121117.51449882794</v>
      </c>
    </row>
  </sheetData>
</worksheet>
</file>

<file path=xl/worksheets/sheet7.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s>
  <sheetData>
    <row r="1">
      <c r="A1" s="1" t="inlineStr">
        <is>
          <t xml:space="preserve">line</t>
        </is>
      </c>
      <c r="B1" s="1" t="inlineStr">
        <is>
          <t xml:space="preserve">subsidiary</t>
        </is>
      </c>
      <c r="C1" s="1" t="inlineStr">
        <is>
          <t xml:space="preserve">department</t>
        </is>
      </c>
      <c r="D1" s="1" t="inlineStr">
        <is>
          <t xml:space="preserve">Jan-26</t>
        </is>
      </c>
      <c r="E1" s="1" t="inlineStr">
        <is>
          <t xml:space="preserve">Feb-26</t>
        </is>
      </c>
      <c r="F1" s="1" t="inlineStr">
        <is>
          <t xml:space="preserve">Mar-26</t>
        </is>
      </c>
      <c r="G1" s="1" t="inlineStr">
        <is>
          <t xml:space="preserve">Apr-26</t>
        </is>
      </c>
      <c r="H1" s="1" t="inlineStr">
        <is>
          <t xml:space="preserve">May-26</t>
        </is>
      </c>
      <c r="I1" s="1" t="inlineStr">
        <is>
          <t xml:space="preserve">Jun-26</t>
        </is>
      </c>
      <c r="J1" s="1" t="inlineStr">
        <is>
          <t xml:space="preserve">Jul-26</t>
        </is>
      </c>
      <c r="K1" s="1" t="inlineStr">
        <is>
          <t xml:space="preserve">Aug-26</t>
        </is>
      </c>
      <c r="L1" s="1" t="inlineStr">
        <is>
          <t xml:space="preserve">Sep-26</t>
        </is>
      </c>
      <c r="M1" s="1" t="inlineStr">
        <is>
          <t xml:space="preserve">Oct-26</t>
        </is>
      </c>
      <c r="N1" s="1" t="inlineStr">
        <is>
          <t xml:space="preserve">Nov-26</t>
        </is>
      </c>
      <c r="O1" s="1" t="inlineStr">
        <is>
          <t xml:space="preserve">Dec-26</t>
        </is>
      </c>
    </row>
    <row r="2">
      <c r="A2" s="0" t="inlineStr">
        <is>
          <t xml:space="preserve">Revenue</t>
        </is>
      </c>
      <c r="B2" s="0" t="inlineStr">
        <is>
          <t xml:space="preserve">United States</t>
        </is>
      </c>
      <c r="C2" s="0" t="inlineStr">
        <is>
          <t xml:space="preserve">Company (revenue and cost of revenue)</t>
        </is>
      </c>
      <c r="D2" s="6">
        <v>4025500</v>
      </c>
      <c r="E2" s="6">
        <v>4164600</v>
      </c>
      <c r="F2" s="6">
        <v>4482100</v>
      </c>
      <c r="G2" s="6">
        <v>4456000</v>
      </c>
      <c r="H2" s="6">
        <v>4563000</v>
      </c>
      <c r="I2" s="6">
        <v>4859400</v>
      </c>
      <c r="J2" s="6">
        <v>4688900</v>
      </c>
      <c r="K2" s="6">
        <v>4752500</v>
      </c>
      <c r="L2" s="6">
        <v>5117400</v>
      </c>
      <c r="M2" s="6">
        <v>5188800</v>
      </c>
      <c r="N2" s="6">
        <v>5260700</v>
      </c>
      <c r="O2" s="6">
        <v>5710200</v>
      </c>
    </row>
    <row r="3">
      <c r="A3" s="0" t="inlineStr">
        <is>
          <t xml:space="preserve">Revenue</t>
        </is>
      </c>
      <c r="B3" s="0" t="inlineStr">
        <is>
          <t xml:space="preserve">United States</t>
        </is>
      </c>
      <c r="C3" s="0" t="inlineStr">
        <is>
          <t xml:space="preserve">Sales</t>
        </is>
      </c>
    </row>
    <row r="4">
      <c r="A4" s="0" t="inlineStr">
        <is>
          <t xml:space="preserve">Revenue</t>
        </is>
      </c>
      <c r="B4" s="0" t="inlineStr">
        <is>
          <t xml:space="preserve">United States</t>
        </is>
      </c>
      <c r="C4" s="0" t="inlineStr">
        <is>
          <t xml:space="preserve">Marketing</t>
        </is>
      </c>
    </row>
    <row r="5">
      <c r="A5" s="0" t="inlineStr">
        <is>
          <t xml:space="preserve">Revenue</t>
        </is>
      </c>
      <c r="B5" s="0" t="inlineStr">
        <is>
          <t xml:space="preserve">United States</t>
        </is>
      </c>
      <c r="C5" s="0" t="inlineStr">
        <is>
          <t xml:space="preserve">Engineering</t>
        </is>
      </c>
    </row>
    <row r="6">
      <c r="A6" s="0" t="inlineStr">
        <is>
          <t xml:space="preserve">Revenue</t>
        </is>
      </c>
      <c r="B6" s="0" t="inlineStr">
        <is>
          <t xml:space="preserve">United States</t>
        </is>
      </c>
      <c r="C6" s="0" t="inlineStr">
        <is>
          <t xml:space="preserve">Customer success</t>
        </is>
      </c>
    </row>
    <row r="7">
      <c r="A7" s="0" t="inlineStr">
        <is>
          <t xml:space="preserve">Revenue</t>
        </is>
      </c>
      <c r="B7" s="0" t="inlineStr">
        <is>
          <t xml:space="preserve">United States</t>
        </is>
      </c>
      <c r="C7" s="0" t="inlineStr">
        <is>
          <t xml:space="preserve">G&amp;A</t>
        </is>
      </c>
    </row>
    <row r="8">
      <c r="A8" s="0" t="inlineStr">
        <is>
          <t xml:space="preserve">Revenue</t>
        </is>
      </c>
      <c r="B8" s="0" t="inlineStr">
        <is>
          <t xml:space="preserve">United Kingdom</t>
        </is>
      </c>
      <c r="C8" s="0" t="inlineStr">
        <is>
          <t xml:space="preserve">Company (revenue and cost of revenue)</t>
        </is>
      </c>
      <c r="D8" s="6">
        <v>1690700</v>
      </c>
      <c r="E8" s="6">
        <v>1749100</v>
      </c>
      <c r="F8" s="6">
        <v>1882500</v>
      </c>
      <c r="G8" s="6">
        <v>1871500</v>
      </c>
      <c r="H8" s="6">
        <v>1916400</v>
      </c>
      <c r="I8" s="6">
        <v>2040900</v>
      </c>
      <c r="J8" s="6">
        <v>1969400</v>
      </c>
      <c r="K8" s="6">
        <v>1996000</v>
      </c>
      <c r="L8" s="6">
        <v>2149300</v>
      </c>
      <c r="M8" s="6">
        <v>2179300</v>
      </c>
      <c r="N8" s="6">
        <v>2209500</v>
      </c>
      <c r="O8" s="6">
        <v>2398300</v>
      </c>
    </row>
    <row r="9">
      <c r="A9" s="0" t="inlineStr">
        <is>
          <t xml:space="preserve">Revenue</t>
        </is>
      </c>
      <c r="B9" s="0" t="inlineStr">
        <is>
          <t xml:space="preserve">United Kingdom</t>
        </is>
      </c>
      <c r="C9" s="0" t="inlineStr">
        <is>
          <t xml:space="preserve">Sales</t>
        </is>
      </c>
    </row>
    <row r="10">
      <c r="A10" s="0" t="inlineStr">
        <is>
          <t xml:space="preserve">Revenue</t>
        </is>
      </c>
      <c r="B10" s="0" t="inlineStr">
        <is>
          <t xml:space="preserve">United Kingdom</t>
        </is>
      </c>
      <c r="C10" s="0" t="inlineStr">
        <is>
          <t xml:space="preserve">Marketing</t>
        </is>
      </c>
    </row>
    <row r="11">
      <c r="A11" s="0" t="inlineStr">
        <is>
          <t xml:space="preserve">Revenue</t>
        </is>
      </c>
      <c r="B11" s="0" t="inlineStr">
        <is>
          <t xml:space="preserve">United Kingdom</t>
        </is>
      </c>
      <c r="C11" s="0" t="inlineStr">
        <is>
          <t xml:space="preserve">Engineering</t>
        </is>
      </c>
    </row>
    <row r="12">
      <c r="A12" s="0" t="inlineStr">
        <is>
          <t xml:space="preserve">Revenue</t>
        </is>
      </c>
      <c r="B12" s="0" t="inlineStr">
        <is>
          <t xml:space="preserve">United Kingdom</t>
        </is>
      </c>
      <c r="C12" s="0" t="inlineStr">
        <is>
          <t xml:space="preserve">Customer success</t>
        </is>
      </c>
    </row>
    <row r="13">
      <c r="A13" s="0" t="inlineStr">
        <is>
          <t xml:space="preserve">Revenue</t>
        </is>
      </c>
      <c r="B13" s="0" t="inlineStr">
        <is>
          <t xml:space="preserve">United Kingdom</t>
        </is>
      </c>
      <c r="C13" s="0" t="inlineStr">
        <is>
          <t xml:space="preserve">G&amp;A</t>
        </is>
      </c>
    </row>
    <row r="14">
      <c r="A14" s="0" t="inlineStr">
        <is>
          <t xml:space="preserve">Cost of revenue: hosting</t>
        </is>
      </c>
      <c r="B14" s="0" t="inlineStr">
        <is>
          <t xml:space="preserve">United States</t>
        </is>
      </c>
      <c r="C14" s="0" t="inlineStr">
        <is>
          <t xml:space="preserve">Company (revenue and cost of revenue)</t>
        </is>
      </c>
      <c r="D14" s="6">
        <v>-442800</v>
      </c>
      <c r="E14" s="6">
        <v>-458100</v>
      </c>
      <c r="F14" s="6">
        <v>-493000</v>
      </c>
      <c r="G14" s="6">
        <v>-490200</v>
      </c>
      <c r="H14" s="6">
        <v>-501900</v>
      </c>
      <c r="I14" s="6">
        <v>-534500</v>
      </c>
      <c r="J14" s="6">
        <v>-515800</v>
      </c>
      <c r="K14" s="6">
        <v>-522800</v>
      </c>
      <c r="L14" s="6">
        <v>-562900</v>
      </c>
      <c r="M14" s="6">
        <v>-570800</v>
      </c>
      <c r="N14" s="6">
        <v>-578700</v>
      </c>
      <c r="O14" s="6">
        <v>-628100</v>
      </c>
    </row>
    <row r="15">
      <c r="A15" s="0" t="inlineStr">
        <is>
          <t xml:space="preserve">Cost of revenue: hosting</t>
        </is>
      </c>
      <c r="B15" s="0" t="inlineStr">
        <is>
          <t xml:space="preserve">United States</t>
        </is>
      </c>
      <c r="C15" s="0" t="inlineStr">
        <is>
          <t xml:space="preserve">Sales</t>
        </is>
      </c>
    </row>
    <row r="16">
      <c r="A16" s="0" t="inlineStr">
        <is>
          <t xml:space="preserve">Cost of revenue: hosting</t>
        </is>
      </c>
      <c r="B16" s="0" t="inlineStr">
        <is>
          <t xml:space="preserve">United States</t>
        </is>
      </c>
      <c r="C16" s="0" t="inlineStr">
        <is>
          <t xml:space="preserve">Marketing</t>
        </is>
      </c>
    </row>
    <row r="17">
      <c r="A17" s="0" t="inlineStr">
        <is>
          <t xml:space="preserve">Cost of revenue: hosting</t>
        </is>
      </c>
      <c r="B17" s="0" t="inlineStr">
        <is>
          <t xml:space="preserve">United States</t>
        </is>
      </c>
      <c r="C17" s="0" t="inlineStr">
        <is>
          <t xml:space="preserve">Engineering</t>
        </is>
      </c>
    </row>
    <row r="18">
      <c r="A18" s="0" t="inlineStr">
        <is>
          <t xml:space="preserve">Cost of revenue: hosting</t>
        </is>
      </c>
      <c r="B18" s="0" t="inlineStr">
        <is>
          <t xml:space="preserve">United States</t>
        </is>
      </c>
      <c r="C18" s="0" t="inlineStr">
        <is>
          <t xml:space="preserve">Customer success</t>
        </is>
      </c>
    </row>
    <row r="19">
      <c r="A19" s="0" t="inlineStr">
        <is>
          <t xml:space="preserve">Cost of revenue: hosting</t>
        </is>
      </c>
      <c r="B19" s="0" t="inlineStr">
        <is>
          <t xml:space="preserve">United States</t>
        </is>
      </c>
      <c r="C19" s="0" t="inlineStr">
        <is>
          <t xml:space="preserve">G&amp;A</t>
        </is>
      </c>
    </row>
    <row r="20">
      <c r="A20" s="0" t="inlineStr">
        <is>
          <t xml:space="preserve">Cost of revenue: hosting</t>
        </is>
      </c>
      <c r="B20" s="0" t="inlineStr">
        <is>
          <t xml:space="preserve">United Kingdom</t>
        </is>
      </c>
      <c r="C20" s="0" t="inlineStr">
        <is>
          <t xml:space="preserve">Company (revenue and cost of revenue)</t>
        </is>
      </c>
      <c r="D20" s="6">
        <v>-186000</v>
      </c>
      <c r="E20" s="6">
        <v>-192400</v>
      </c>
      <c r="F20" s="6">
        <v>-207100</v>
      </c>
      <c r="G20" s="6">
        <v>-205900</v>
      </c>
      <c r="H20" s="6">
        <v>-210800</v>
      </c>
      <c r="I20" s="6">
        <v>-224500</v>
      </c>
      <c r="J20" s="6">
        <v>-216600</v>
      </c>
      <c r="K20" s="6">
        <v>-219600</v>
      </c>
      <c r="L20" s="6">
        <v>-236400</v>
      </c>
      <c r="M20" s="6">
        <v>-239700</v>
      </c>
      <c r="N20" s="6">
        <v>-243000</v>
      </c>
      <c r="O20" s="6">
        <v>-263800</v>
      </c>
    </row>
    <row r="21">
      <c r="A21" s="0" t="inlineStr">
        <is>
          <t xml:space="preserve">Cost of revenue: hosting</t>
        </is>
      </c>
      <c r="B21" s="0" t="inlineStr">
        <is>
          <t xml:space="preserve">United Kingdom</t>
        </is>
      </c>
      <c r="C21" s="0" t="inlineStr">
        <is>
          <t xml:space="preserve">Sales</t>
        </is>
      </c>
    </row>
    <row r="22">
      <c r="A22" s="0" t="inlineStr">
        <is>
          <t xml:space="preserve">Cost of revenue: hosting</t>
        </is>
      </c>
      <c r="B22" s="0" t="inlineStr">
        <is>
          <t xml:space="preserve">United Kingdom</t>
        </is>
      </c>
      <c r="C22" s="0" t="inlineStr">
        <is>
          <t xml:space="preserve">Marketing</t>
        </is>
      </c>
    </row>
    <row r="23">
      <c r="A23" s="0" t="inlineStr">
        <is>
          <t xml:space="preserve">Cost of revenue: hosting</t>
        </is>
      </c>
      <c r="B23" s="0" t="inlineStr">
        <is>
          <t xml:space="preserve">United Kingdom</t>
        </is>
      </c>
      <c r="C23" s="0" t="inlineStr">
        <is>
          <t xml:space="preserve">Engineering</t>
        </is>
      </c>
    </row>
    <row r="24">
      <c r="A24" s="0" t="inlineStr">
        <is>
          <t xml:space="preserve">Cost of revenue: hosting</t>
        </is>
      </c>
      <c r="B24" s="0" t="inlineStr">
        <is>
          <t xml:space="preserve">United Kingdom</t>
        </is>
      </c>
      <c r="C24" s="0" t="inlineStr">
        <is>
          <t xml:space="preserve">Customer success</t>
        </is>
      </c>
    </row>
    <row r="25">
      <c r="A25" s="0" t="inlineStr">
        <is>
          <t xml:space="preserve">Cost of revenue: hosting</t>
        </is>
      </c>
      <c r="B25" s="0" t="inlineStr">
        <is>
          <t xml:space="preserve">United Kingdom</t>
        </is>
      </c>
      <c r="C25" s="0" t="inlineStr">
        <is>
          <t xml:space="preserve">G&amp;A</t>
        </is>
      </c>
    </row>
    <row r="26">
      <c r="A26" s="0" t="inlineStr">
        <is>
          <t xml:space="preserve">Cost of revenue: support</t>
        </is>
      </c>
      <c r="B26" s="0" t="inlineStr">
        <is>
          <t xml:space="preserve">United States</t>
        </is>
      </c>
      <c r="C26" s="0" t="inlineStr">
        <is>
          <t xml:space="preserve">Company (revenue and cost of revenue)</t>
        </is>
      </c>
      <c r="D26" s="6">
        <v>-201300</v>
      </c>
      <c r="E26" s="6">
        <v>-208200</v>
      </c>
      <c r="F26" s="6">
        <v>-224100</v>
      </c>
      <c r="G26" s="6">
        <v>-222800</v>
      </c>
      <c r="H26" s="6">
        <v>-228100</v>
      </c>
      <c r="I26" s="6">
        <v>-243000</v>
      </c>
      <c r="J26" s="6">
        <v>-234400</v>
      </c>
      <c r="K26" s="6">
        <v>-237600</v>
      </c>
      <c r="L26" s="6">
        <v>-255900</v>
      </c>
      <c r="M26" s="6">
        <v>-259400</v>
      </c>
      <c r="N26" s="6">
        <v>-263000</v>
      </c>
      <c r="O26" s="6">
        <v>-285500</v>
      </c>
    </row>
    <row r="27">
      <c r="A27" s="0" t="inlineStr">
        <is>
          <t xml:space="preserve">Cost of revenue: support</t>
        </is>
      </c>
      <c r="B27" s="0" t="inlineStr">
        <is>
          <t xml:space="preserve">United States</t>
        </is>
      </c>
      <c r="C27" s="0" t="inlineStr">
        <is>
          <t xml:space="preserve">Sales</t>
        </is>
      </c>
    </row>
    <row r="28">
      <c r="A28" s="0" t="inlineStr">
        <is>
          <t xml:space="preserve">Cost of revenue: support</t>
        </is>
      </c>
      <c r="B28" s="0" t="inlineStr">
        <is>
          <t xml:space="preserve">United States</t>
        </is>
      </c>
      <c r="C28" s="0" t="inlineStr">
        <is>
          <t xml:space="preserve">Marketing</t>
        </is>
      </c>
    </row>
    <row r="29">
      <c r="A29" s="0" t="inlineStr">
        <is>
          <t xml:space="preserve">Cost of revenue: support</t>
        </is>
      </c>
      <c r="B29" s="0" t="inlineStr">
        <is>
          <t xml:space="preserve">United States</t>
        </is>
      </c>
      <c r="C29" s="0" t="inlineStr">
        <is>
          <t xml:space="preserve">Engineering</t>
        </is>
      </c>
    </row>
    <row r="30">
      <c r="A30" s="0" t="inlineStr">
        <is>
          <t xml:space="preserve">Cost of revenue: support</t>
        </is>
      </c>
      <c r="B30" s="0" t="inlineStr">
        <is>
          <t xml:space="preserve">United States</t>
        </is>
      </c>
      <c r="C30" s="0" t="inlineStr">
        <is>
          <t xml:space="preserve">Customer success</t>
        </is>
      </c>
    </row>
    <row r="31">
      <c r="A31" s="0" t="inlineStr">
        <is>
          <t xml:space="preserve">Cost of revenue: support</t>
        </is>
      </c>
      <c r="B31" s="0" t="inlineStr">
        <is>
          <t xml:space="preserve">United States</t>
        </is>
      </c>
      <c r="C31" s="0" t="inlineStr">
        <is>
          <t xml:space="preserve">G&amp;A</t>
        </is>
      </c>
    </row>
    <row r="32">
      <c r="A32" s="0" t="inlineStr">
        <is>
          <t xml:space="preserve">Cost of revenue: support</t>
        </is>
      </c>
      <c r="B32" s="0" t="inlineStr">
        <is>
          <t xml:space="preserve">United Kingdom</t>
        </is>
      </c>
      <c r="C32" s="0" t="inlineStr">
        <is>
          <t xml:space="preserve">Company (revenue and cost of revenue)</t>
        </is>
      </c>
      <c r="D32" s="6">
        <v>-84500</v>
      </c>
      <c r="E32" s="6">
        <v>-87500</v>
      </c>
      <c r="F32" s="6">
        <v>-94100</v>
      </c>
      <c r="G32" s="6">
        <v>-93600</v>
      </c>
      <c r="H32" s="6">
        <v>-95800</v>
      </c>
      <c r="I32" s="6">
        <v>-102000</v>
      </c>
      <c r="J32" s="6">
        <v>-98500</v>
      </c>
      <c r="K32" s="6">
        <v>-99800</v>
      </c>
      <c r="L32" s="6">
        <v>-107500</v>
      </c>
      <c r="M32" s="6">
        <v>-109000</v>
      </c>
      <c r="N32" s="6">
        <v>-110500</v>
      </c>
      <c r="O32" s="6">
        <v>-119900</v>
      </c>
    </row>
    <row r="33">
      <c r="A33" s="0" t="inlineStr">
        <is>
          <t xml:space="preserve">Cost of revenue: support</t>
        </is>
      </c>
      <c r="B33" s="0" t="inlineStr">
        <is>
          <t xml:space="preserve">United Kingdom</t>
        </is>
      </c>
      <c r="C33" s="0" t="inlineStr">
        <is>
          <t xml:space="preserve">Sales</t>
        </is>
      </c>
    </row>
    <row r="34">
      <c r="A34" s="0" t="inlineStr">
        <is>
          <t xml:space="preserve">Cost of revenue: support</t>
        </is>
      </c>
      <c r="B34" s="0" t="inlineStr">
        <is>
          <t xml:space="preserve">United Kingdom</t>
        </is>
      </c>
      <c r="C34" s="0" t="inlineStr">
        <is>
          <t xml:space="preserve">Marketing</t>
        </is>
      </c>
    </row>
    <row r="35">
      <c r="A35" s="0" t="inlineStr">
        <is>
          <t xml:space="preserve">Cost of revenue: support</t>
        </is>
      </c>
      <c r="B35" s="0" t="inlineStr">
        <is>
          <t xml:space="preserve">United Kingdom</t>
        </is>
      </c>
      <c r="C35" s="0" t="inlineStr">
        <is>
          <t xml:space="preserve">Engineering</t>
        </is>
      </c>
    </row>
    <row r="36">
      <c r="A36" s="0" t="inlineStr">
        <is>
          <t xml:space="preserve">Cost of revenue: support</t>
        </is>
      </c>
      <c r="B36" s="0" t="inlineStr">
        <is>
          <t xml:space="preserve">United Kingdom</t>
        </is>
      </c>
      <c r="C36" s="0" t="inlineStr">
        <is>
          <t xml:space="preserve">Customer success</t>
        </is>
      </c>
    </row>
    <row r="37">
      <c r="A37" s="0" t="inlineStr">
        <is>
          <t xml:space="preserve">Cost of revenue: support</t>
        </is>
      </c>
      <c r="B37" s="0" t="inlineStr">
        <is>
          <t xml:space="preserve">United Kingdom</t>
        </is>
      </c>
      <c r="C37" s="0" t="inlineStr">
        <is>
          <t xml:space="preserve">G&amp;A</t>
        </is>
      </c>
    </row>
    <row r="38">
      <c r="A38" s="0" t="inlineStr">
        <is>
          <t xml:space="preserve">Salaries</t>
        </is>
      </c>
      <c r="B38" s="0" t="inlineStr">
        <is>
          <t xml:space="preserve">United States</t>
        </is>
      </c>
      <c r="C38" s="0" t="inlineStr">
        <is>
          <t xml:space="preserve">Company (revenue and cost of revenue)</t>
        </is>
      </c>
    </row>
    <row r="39">
      <c r="A39" s="0" t="inlineStr">
        <is>
          <t xml:space="preserve">Salaries</t>
        </is>
      </c>
      <c r="B39" s="0" t="inlineStr">
        <is>
          <t xml:space="preserve">United States</t>
        </is>
      </c>
      <c r="C39" s="0" t="inlineStr">
        <is>
          <t xml:space="preserve">Sales</t>
        </is>
      </c>
      <c r="D39" s="6">
        <v>-302500</v>
      </c>
      <c r="E39" s="6">
        <v>-316200</v>
      </c>
      <c r="F39" s="6">
        <v>-330000</v>
      </c>
      <c r="G39" s="6">
        <v>-343800</v>
      </c>
      <c r="H39" s="6">
        <v>-343800</v>
      </c>
      <c r="I39" s="6">
        <v>-357500</v>
      </c>
      <c r="J39" s="6">
        <v>-357500</v>
      </c>
      <c r="K39" s="6">
        <v>-371200</v>
      </c>
      <c r="L39" s="6">
        <v>-398800</v>
      </c>
      <c r="M39" s="6">
        <v>-412500</v>
      </c>
      <c r="N39" s="6">
        <v>-412500</v>
      </c>
      <c r="O39" s="6">
        <v>-426200</v>
      </c>
    </row>
    <row r="40">
      <c r="A40" s="0" t="inlineStr">
        <is>
          <t xml:space="preserve">Salaries</t>
        </is>
      </c>
      <c r="B40" s="0" t="inlineStr">
        <is>
          <t xml:space="preserve">United States</t>
        </is>
      </c>
      <c r="C40" s="0" t="inlineStr">
        <is>
          <t xml:space="preserve">Marketing</t>
        </is>
      </c>
      <c r="D40" s="6">
        <v>-105000</v>
      </c>
      <c r="E40" s="6">
        <v>-105000</v>
      </c>
      <c r="F40" s="6">
        <v>-116700</v>
      </c>
      <c r="G40" s="6">
        <v>-116700</v>
      </c>
      <c r="H40" s="6">
        <v>-116700</v>
      </c>
      <c r="I40" s="6">
        <v>-116700</v>
      </c>
      <c r="J40" s="6">
        <v>-128300</v>
      </c>
      <c r="K40" s="6">
        <v>-128300</v>
      </c>
      <c r="L40" s="6">
        <v>-128300</v>
      </c>
      <c r="M40" s="6">
        <v>-140000</v>
      </c>
      <c r="N40" s="6">
        <v>-140000</v>
      </c>
      <c r="O40" s="6">
        <v>-140000</v>
      </c>
    </row>
    <row r="41">
      <c r="A41" s="0" t="inlineStr">
        <is>
          <t xml:space="preserve">Salaries</t>
        </is>
      </c>
      <c r="B41" s="0" t="inlineStr">
        <is>
          <t xml:space="preserve">United States</t>
        </is>
      </c>
      <c r="C41" s="0" t="inlineStr">
        <is>
          <t xml:space="preserve">Engineering</t>
        </is>
      </c>
      <c r="D41" s="6">
        <v>-617500</v>
      </c>
      <c r="E41" s="6">
        <v>-633300</v>
      </c>
      <c r="F41" s="6">
        <v>-680800</v>
      </c>
      <c r="G41" s="6">
        <v>-696700</v>
      </c>
      <c r="H41" s="6">
        <v>-712500</v>
      </c>
      <c r="I41" s="6">
        <v>-744200</v>
      </c>
      <c r="J41" s="6">
        <v>-760000</v>
      </c>
      <c r="K41" s="6">
        <v>-775800</v>
      </c>
      <c r="L41" s="6">
        <v>-823300</v>
      </c>
      <c r="M41" s="6">
        <v>-839200</v>
      </c>
      <c r="N41" s="6">
        <v>-855000</v>
      </c>
      <c r="O41" s="6">
        <v>-870800</v>
      </c>
    </row>
    <row r="42">
      <c r="A42" s="0" t="inlineStr">
        <is>
          <t xml:space="preserve">Salaries</t>
        </is>
      </c>
      <c r="B42" s="0" t="inlineStr">
        <is>
          <t xml:space="preserve">United States</t>
        </is>
      </c>
      <c r="C42" s="0" t="inlineStr">
        <is>
          <t xml:space="preserve">Customer success</t>
        </is>
      </c>
      <c r="D42" s="6">
        <v>-110000</v>
      </c>
      <c r="E42" s="6">
        <v>-119200</v>
      </c>
      <c r="F42" s="6">
        <v>-119200</v>
      </c>
      <c r="G42" s="6">
        <v>-119200</v>
      </c>
      <c r="H42" s="6">
        <v>-128300</v>
      </c>
      <c r="I42" s="6">
        <v>-128300</v>
      </c>
      <c r="J42" s="6">
        <v>-128300</v>
      </c>
      <c r="K42" s="6">
        <v>-137500</v>
      </c>
      <c r="L42" s="6">
        <v>-137500</v>
      </c>
      <c r="M42" s="6">
        <v>-146700</v>
      </c>
      <c r="N42" s="6">
        <v>-146700</v>
      </c>
      <c r="O42" s="6">
        <v>-146700</v>
      </c>
    </row>
    <row r="43">
      <c r="A43" s="0" t="inlineStr">
        <is>
          <t xml:space="preserve">Salaries</t>
        </is>
      </c>
      <c r="B43" s="0" t="inlineStr">
        <is>
          <t xml:space="preserve">United States</t>
        </is>
      </c>
      <c r="C43" s="0" t="inlineStr">
        <is>
          <t xml:space="preserve">G&amp;A</t>
        </is>
      </c>
      <c r="D43" s="6">
        <v>-125000</v>
      </c>
      <c r="E43" s="6">
        <v>-125000</v>
      </c>
      <c r="F43" s="6">
        <v>-125000</v>
      </c>
      <c r="G43" s="6">
        <v>-137500</v>
      </c>
      <c r="H43" s="6">
        <v>-137500</v>
      </c>
      <c r="I43" s="6">
        <v>-137500</v>
      </c>
      <c r="J43" s="6">
        <v>-137500</v>
      </c>
      <c r="K43" s="6">
        <v>-137500</v>
      </c>
      <c r="L43" s="6">
        <v>-150000</v>
      </c>
      <c r="M43" s="6">
        <v>-150000</v>
      </c>
      <c r="N43" s="6">
        <v>-150000</v>
      </c>
      <c r="O43" s="6">
        <v>-150000</v>
      </c>
    </row>
    <row r="44">
      <c r="A44" s="0" t="inlineStr">
        <is>
          <t xml:space="preserve">Salaries</t>
        </is>
      </c>
      <c r="B44" s="0" t="inlineStr">
        <is>
          <t xml:space="preserve">United Kingdom</t>
        </is>
      </c>
      <c r="C44" s="0" t="inlineStr">
        <is>
          <t xml:space="preserve">Company (revenue and cost of revenue)</t>
        </is>
      </c>
    </row>
    <row r="45">
      <c r="A45" s="0" t="inlineStr">
        <is>
          <t xml:space="preserve">Salaries</t>
        </is>
      </c>
      <c r="B45" s="0" t="inlineStr">
        <is>
          <t xml:space="preserve">United Kingdom</t>
        </is>
      </c>
      <c r="C45" s="0" t="inlineStr">
        <is>
          <t xml:space="preserve">Sales</t>
        </is>
      </c>
      <c r="D45" s="6">
        <v>-105200</v>
      </c>
      <c r="E45" s="6">
        <v>-105200</v>
      </c>
      <c r="F45" s="6">
        <v>-116900</v>
      </c>
      <c r="G45" s="6">
        <v>-116900</v>
      </c>
      <c r="H45" s="6">
        <v>-116900</v>
      </c>
      <c r="I45" s="6">
        <v>-116900</v>
      </c>
      <c r="J45" s="6">
        <v>-116900</v>
      </c>
      <c r="K45" s="6">
        <v>-116900</v>
      </c>
      <c r="L45" s="6">
        <v>-140200</v>
      </c>
      <c r="M45" s="6">
        <v>-140200</v>
      </c>
      <c r="N45" s="6">
        <v>-140200</v>
      </c>
      <c r="O45" s="6">
        <v>-140200</v>
      </c>
    </row>
    <row r="46">
      <c r="A46" s="0" t="inlineStr">
        <is>
          <t xml:space="preserve">Salaries</t>
        </is>
      </c>
      <c r="B46" s="0" t="inlineStr">
        <is>
          <t xml:space="preserve">United Kingdom</t>
        </is>
      </c>
      <c r="C46" s="0" t="inlineStr">
        <is>
          <t xml:space="preserve">Marketing</t>
        </is>
      </c>
      <c r="D46" s="6">
        <v>-39700</v>
      </c>
      <c r="E46" s="6">
        <v>-39700</v>
      </c>
      <c r="F46" s="6">
        <v>-49600</v>
      </c>
      <c r="G46" s="6">
        <v>-49600</v>
      </c>
      <c r="H46" s="6">
        <v>-49600</v>
      </c>
      <c r="I46" s="6">
        <v>-49600</v>
      </c>
      <c r="J46" s="6">
        <v>-59500</v>
      </c>
      <c r="K46" s="6">
        <v>-59500</v>
      </c>
      <c r="L46" s="6">
        <v>-59500</v>
      </c>
      <c r="M46" s="6">
        <v>-59500</v>
      </c>
      <c r="N46" s="6">
        <v>-59500</v>
      </c>
      <c r="O46" s="6">
        <v>-59500</v>
      </c>
    </row>
    <row r="47">
      <c r="A47" s="0" t="inlineStr">
        <is>
          <t xml:space="preserve">Salaries</t>
        </is>
      </c>
      <c r="B47" s="0" t="inlineStr">
        <is>
          <t xml:space="preserve">United Kingdom</t>
        </is>
      </c>
      <c r="C47" s="0" t="inlineStr">
        <is>
          <t xml:space="preserve">Engineering</t>
        </is>
      </c>
      <c r="D47" s="6">
        <v>-228800</v>
      </c>
      <c r="E47" s="6">
        <v>-228800</v>
      </c>
      <c r="F47" s="6">
        <v>-269200</v>
      </c>
      <c r="G47" s="6">
        <v>-269200</v>
      </c>
      <c r="H47" s="6">
        <v>-282600</v>
      </c>
      <c r="I47" s="6">
        <v>-282600</v>
      </c>
      <c r="J47" s="6">
        <v>-296100</v>
      </c>
      <c r="K47" s="6">
        <v>-296100</v>
      </c>
      <c r="L47" s="6">
        <v>-336500</v>
      </c>
      <c r="M47" s="6">
        <v>-336500</v>
      </c>
      <c r="N47" s="6">
        <v>-349900</v>
      </c>
      <c r="O47" s="6">
        <v>-349900</v>
      </c>
    </row>
    <row r="48">
      <c r="A48" s="0" t="inlineStr">
        <is>
          <t xml:space="preserve">Salaries</t>
        </is>
      </c>
      <c r="B48" s="0" t="inlineStr">
        <is>
          <t xml:space="preserve">United Kingdom</t>
        </is>
      </c>
      <c r="C48" s="0" t="inlineStr">
        <is>
          <t xml:space="preserve">Customer success</t>
        </is>
      </c>
      <c r="D48" s="6">
        <v>-39000</v>
      </c>
      <c r="E48" s="6">
        <v>-39000</v>
      </c>
      <c r="F48" s="6">
        <v>-39000</v>
      </c>
      <c r="G48" s="6">
        <v>-39000</v>
      </c>
      <c r="H48" s="6">
        <v>-46800</v>
      </c>
      <c r="I48" s="6">
        <v>-46800</v>
      </c>
      <c r="J48" s="6">
        <v>-46800</v>
      </c>
      <c r="K48" s="6">
        <v>-46800</v>
      </c>
      <c r="L48" s="6">
        <v>-46800</v>
      </c>
      <c r="M48" s="6">
        <v>-46800</v>
      </c>
      <c r="N48" s="6">
        <v>-46800</v>
      </c>
      <c r="O48" s="6">
        <v>-46800</v>
      </c>
    </row>
    <row r="49">
      <c r="A49" s="0" t="inlineStr">
        <is>
          <t xml:space="preserve">Salaries</t>
        </is>
      </c>
      <c r="B49" s="0" t="inlineStr">
        <is>
          <t xml:space="preserve">United Kingdom</t>
        </is>
      </c>
      <c r="C49" s="0" t="inlineStr">
        <is>
          <t xml:space="preserve">G&amp;A</t>
        </is>
      </c>
      <c r="D49" s="6">
        <v>-42500</v>
      </c>
      <c r="E49" s="6">
        <v>-42500</v>
      </c>
      <c r="F49" s="6">
        <v>-42500</v>
      </c>
      <c r="G49" s="6">
        <v>-42500</v>
      </c>
      <c r="H49" s="6">
        <v>-42500</v>
      </c>
      <c r="I49" s="6">
        <v>-42500</v>
      </c>
      <c r="J49" s="6">
        <v>-42500</v>
      </c>
      <c r="K49" s="6">
        <v>-42500</v>
      </c>
      <c r="L49" s="6">
        <v>-53100</v>
      </c>
      <c r="M49" s="6">
        <v>-53100</v>
      </c>
      <c r="N49" s="6">
        <v>-53100</v>
      </c>
      <c r="O49" s="6">
        <v>-53100</v>
      </c>
    </row>
    <row r="50">
      <c r="A50" s="0" t="inlineStr">
        <is>
          <t xml:space="preserve">Benefits and payroll taxes</t>
        </is>
      </c>
      <c r="B50" s="0" t="inlineStr">
        <is>
          <t xml:space="preserve">United States</t>
        </is>
      </c>
      <c r="C50" s="0" t="inlineStr">
        <is>
          <t xml:space="preserve">Company (revenue and cost of revenue)</t>
        </is>
      </c>
    </row>
    <row r="51">
      <c r="A51" s="0" t="inlineStr">
        <is>
          <t xml:space="preserve">Benefits and payroll taxes</t>
        </is>
      </c>
      <c r="B51" s="0" t="inlineStr">
        <is>
          <t xml:space="preserve">United States</t>
        </is>
      </c>
      <c r="C51" s="0" t="inlineStr">
        <is>
          <t xml:space="preserve">Sales</t>
        </is>
      </c>
      <c r="D51" s="6">
        <v>-63500</v>
      </c>
      <c r="E51" s="6">
        <v>-66400</v>
      </c>
      <c r="F51" s="6">
        <v>-69300</v>
      </c>
      <c r="G51" s="6">
        <v>-72200</v>
      </c>
      <c r="H51" s="6">
        <v>-72200</v>
      </c>
      <c r="I51" s="6">
        <v>-75100</v>
      </c>
      <c r="J51" s="6">
        <v>-75100</v>
      </c>
      <c r="K51" s="6">
        <v>-78000</v>
      </c>
      <c r="L51" s="6">
        <v>-83700</v>
      </c>
      <c r="M51" s="6">
        <v>-86600</v>
      </c>
      <c r="N51" s="6">
        <v>-86600</v>
      </c>
      <c r="O51" s="6">
        <v>-89500</v>
      </c>
    </row>
    <row r="52">
      <c r="A52" s="0" t="inlineStr">
        <is>
          <t xml:space="preserve">Benefits and payroll taxes</t>
        </is>
      </c>
      <c r="B52" s="0" t="inlineStr">
        <is>
          <t xml:space="preserve">United States</t>
        </is>
      </c>
      <c r="C52" s="0" t="inlineStr">
        <is>
          <t xml:space="preserve">Marketing</t>
        </is>
      </c>
      <c r="D52" s="6">
        <v>-22000</v>
      </c>
      <c r="E52" s="6">
        <v>-22000</v>
      </c>
      <c r="F52" s="6">
        <v>-24500</v>
      </c>
      <c r="G52" s="6">
        <v>-24500</v>
      </c>
      <c r="H52" s="6">
        <v>-24500</v>
      </c>
      <c r="I52" s="6">
        <v>-24500</v>
      </c>
      <c r="J52" s="6">
        <v>-26900</v>
      </c>
      <c r="K52" s="6">
        <v>-26900</v>
      </c>
      <c r="L52" s="6">
        <v>-26900</v>
      </c>
      <c r="M52" s="6">
        <v>-29400</v>
      </c>
      <c r="N52" s="6">
        <v>-29400</v>
      </c>
      <c r="O52" s="6">
        <v>-29400</v>
      </c>
    </row>
    <row r="53">
      <c r="A53" s="0" t="inlineStr">
        <is>
          <t xml:space="preserve">Benefits and payroll taxes</t>
        </is>
      </c>
      <c r="B53" s="0" t="inlineStr">
        <is>
          <t xml:space="preserve">United States</t>
        </is>
      </c>
      <c r="C53" s="0" t="inlineStr">
        <is>
          <t xml:space="preserve">Engineering</t>
        </is>
      </c>
      <c r="D53" s="6">
        <v>-129700</v>
      </c>
      <c r="E53" s="6">
        <v>-133000</v>
      </c>
      <c r="F53" s="6">
        <v>-143000</v>
      </c>
      <c r="G53" s="6">
        <v>-146300</v>
      </c>
      <c r="H53" s="6">
        <v>-149600</v>
      </c>
      <c r="I53" s="6">
        <v>-156300</v>
      </c>
      <c r="J53" s="6">
        <v>-159600</v>
      </c>
      <c r="K53" s="6">
        <v>-162900</v>
      </c>
      <c r="L53" s="6">
        <v>-172900</v>
      </c>
      <c r="M53" s="6">
        <v>-176200</v>
      </c>
      <c r="N53" s="6">
        <v>-179600</v>
      </c>
      <c r="O53" s="6">
        <v>-182900</v>
      </c>
    </row>
    <row r="54">
      <c r="A54" s="0" t="inlineStr">
        <is>
          <t xml:space="preserve">Benefits and payroll taxes</t>
        </is>
      </c>
      <c r="B54" s="0" t="inlineStr">
        <is>
          <t xml:space="preserve">United States</t>
        </is>
      </c>
      <c r="C54" s="0" t="inlineStr">
        <is>
          <t xml:space="preserve">Customer success</t>
        </is>
      </c>
      <c r="D54" s="6">
        <v>-23100</v>
      </c>
      <c r="E54" s="6">
        <v>-25000</v>
      </c>
      <c r="F54" s="6">
        <v>-25000</v>
      </c>
      <c r="G54" s="6">
        <v>-25000</v>
      </c>
      <c r="H54" s="6">
        <v>-26900</v>
      </c>
      <c r="I54" s="6">
        <v>-26900</v>
      </c>
      <c r="J54" s="6">
        <v>-26900</v>
      </c>
      <c r="K54" s="6">
        <v>-28900</v>
      </c>
      <c r="L54" s="6">
        <v>-28900</v>
      </c>
      <c r="M54" s="6">
        <v>-30800</v>
      </c>
      <c r="N54" s="6">
        <v>-30800</v>
      </c>
      <c r="O54" s="6">
        <v>-30800</v>
      </c>
    </row>
    <row r="55">
      <c r="A55" s="0" t="inlineStr">
        <is>
          <t xml:space="preserve">Benefits and payroll taxes</t>
        </is>
      </c>
      <c r="B55" s="0" t="inlineStr">
        <is>
          <t xml:space="preserve">United States</t>
        </is>
      </c>
      <c r="C55" s="0" t="inlineStr">
        <is>
          <t xml:space="preserve">G&amp;A</t>
        </is>
      </c>
      <c r="D55" s="6">
        <v>-26200</v>
      </c>
      <c r="E55" s="6">
        <v>-26200</v>
      </c>
      <c r="F55" s="6">
        <v>-26200</v>
      </c>
      <c r="G55" s="6">
        <v>-28900</v>
      </c>
      <c r="H55" s="6">
        <v>-28900</v>
      </c>
      <c r="I55" s="6">
        <v>-28900</v>
      </c>
      <c r="J55" s="6">
        <v>-28900</v>
      </c>
      <c r="K55" s="6">
        <v>-28900</v>
      </c>
      <c r="L55" s="6">
        <v>-31500</v>
      </c>
      <c r="M55" s="6">
        <v>-31500</v>
      </c>
      <c r="N55" s="6">
        <v>-31500</v>
      </c>
      <c r="O55" s="6">
        <v>-31500</v>
      </c>
    </row>
    <row r="56">
      <c r="A56" s="0" t="inlineStr">
        <is>
          <t xml:space="preserve">Benefits and payroll taxes</t>
        </is>
      </c>
      <c r="B56" s="0" t="inlineStr">
        <is>
          <t xml:space="preserve">United Kingdom</t>
        </is>
      </c>
      <c r="C56" s="0" t="inlineStr">
        <is>
          <t xml:space="preserve">Company (revenue and cost of revenue)</t>
        </is>
      </c>
    </row>
    <row r="57">
      <c r="A57" s="0" t="inlineStr">
        <is>
          <t xml:space="preserve">Benefits and payroll taxes</t>
        </is>
      </c>
      <c r="B57" s="0" t="inlineStr">
        <is>
          <t xml:space="preserve">United Kingdom</t>
        </is>
      </c>
      <c r="C57" s="0" t="inlineStr">
        <is>
          <t xml:space="preserve">Sales</t>
        </is>
      </c>
      <c r="D57" s="6">
        <v>-22100</v>
      </c>
      <c r="E57" s="6">
        <v>-22100</v>
      </c>
      <c r="F57" s="6">
        <v>-24500</v>
      </c>
      <c r="G57" s="6">
        <v>-24500</v>
      </c>
      <c r="H57" s="6">
        <v>-24500</v>
      </c>
      <c r="I57" s="6">
        <v>-24500</v>
      </c>
      <c r="J57" s="6">
        <v>-24500</v>
      </c>
      <c r="K57" s="6">
        <v>-24500</v>
      </c>
      <c r="L57" s="6">
        <v>-29500</v>
      </c>
      <c r="M57" s="6">
        <v>-29500</v>
      </c>
      <c r="N57" s="6">
        <v>-29500</v>
      </c>
      <c r="O57" s="6">
        <v>-29500</v>
      </c>
    </row>
    <row r="58">
      <c r="A58" s="0" t="inlineStr">
        <is>
          <t xml:space="preserve">Benefits and payroll taxes</t>
        </is>
      </c>
      <c r="B58" s="0" t="inlineStr">
        <is>
          <t xml:space="preserve">United Kingdom</t>
        </is>
      </c>
      <c r="C58" s="0" t="inlineStr">
        <is>
          <t xml:space="preserve">Marketing</t>
        </is>
      </c>
      <c r="D58" s="6">
        <v>-8300</v>
      </c>
      <c r="E58" s="6">
        <v>-8300</v>
      </c>
      <c r="F58" s="6">
        <v>-10400</v>
      </c>
      <c r="G58" s="6">
        <v>-10400</v>
      </c>
      <c r="H58" s="6">
        <v>-10400</v>
      </c>
      <c r="I58" s="6">
        <v>-10400</v>
      </c>
      <c r="J58" s="6">
        <v>-12500</v>
      </c>
      <c r="K58" s="6">
        <v>-12500</v>
      </c>
      <c r="L58" s="6">
        <v>-12500</v>
      </c>
      <c r="M58" s="6">
        <v>-12500</v>
      </c>
      <c r="N58" s="6">
        <v>-12500</v>
      </c>
      <c r="O58" s="6">
        <v>-12500</v>
      </c>
    </row>
    <row r="59">
      <c r="A59" s="0" t="inlineStr">
        <is>
          <t xml:space="preserve">Benefits and payroll taxes</t>
        </is>
      </c>
      <c r="B59" s="0" t="inlineStr">
        <is>
          <t xml:space="preserve">United Kingdom</t>
        </is>
      </c>
      <c r="C59" s="0" t="inlineStr">
        <is>
          <t xml:space="preserve">Engineering</t>
        </is>
      </c>
      <c r="D59" s="6">
        <v>-48000</v>
      </c>
      <c r="E59" s="6">
        <v>-48000</v>
      </c>
      <c r="F59" s="6">
        <v>-56500</v>
      </c>
      <c r="G59" s="6">
        <v>-56500</v>
      </c>
      <c r="H59" s="6">
        <v>-59400</v>
      </c>
      <c r="I59" s="6">
        <v>-59400</v>
      </c>
      <c r="J59" s="6">
        <v>-62200</v>
      </c>
      <c r="K59" s="6">
        <v>-62200</v>
      </c>
      <c r="L59" s="6">
        <v>-70700</v>
      </c>
      <c r="M59" s="6">
        <v>-70700</v>
      </c>
      <c r="N59" s="6">
        <v>-73500</v>
      </c>
      <c r="O59" s="6">
        <v>-73500</v>
      </c>
    </row>
    <row r="60">
      <c r="A60" s="0" t="inlineStr">
        <is>
          <t xml:space="preserve">Benefits and payroll taxes</t>
        </is>
      </c>
      <c r="B60" s="0" t="inlineStr">
        <is>
          <t xml:space="preserve">United Kingdom</t>
        </is>
      </c>
      <c r="C60" s="0" t="inlineStr">
        <is>
          <t xml:space="preserve">Customer success</t>
        </is>
      </c>
      <c r="D60" s="6">
        <v>-8200</v>
      </c>
      <c r="E60" s="6">
        <v>-8200</v>
      </c>
      <c r="F60" s="6">
        <v>-8200</v>
      </c>
      <c r="G60" s="6">
        <v>-8200</v>
      </c>
      <c r="H60" s="6">
        <v>-9800</v>
      </c>
      <c r="I60" s="6">
        <v>-9800</v>
      </c>
      <c r="J60" s="6">
        <v>-9800</v>
      </c>
      <c r="K60" s="6">
        <v>-9800</v>
      </c>
      <c r="L60" s="6">
        <v>-9800</v>
      </c>
      <c r="M60" s="6">
        <v>-9800</v>
      </c>
      <c r="N60" s="6">
        <v>-9800</v>
      </c>
      <c r="O60" s="6">
        <v>-9800</v>
      </c>
    </row>
    <row r="61">
      <c r="A61" s="0" t="inlineStr">
        <is>
          <t xml:space="preserve">Benefits and payroll taxes</t>
        </is>
      </c>
      <c r="B61" s="0" t="inlineStr">
        <is>
          <t xml:space="preserve">United Kingdom</t>
        </is>
      </c>
      <c r="C61" s="0" t="inlineStr">
        <is>
          <t xml:space="preserve">G&amp;A</t>
        </is>
      </c>
      <c r="D61" s="6">
        <v>-8900</v>
      </c>
      <c r="E61" s="6">
        <v>-8900</v>
      </c>
      <c r="F61" s="6">
        <v>-8900</v>
      </c>
      <c r="G61" s="6">
        <v>-8900</v>
      </c>
      <c r="H61" s="6">
        <v>-8900</v>
      </c>
      <c r="I61" s="6">
        <v>-8900</v>
      </c>
      <c r="J61" s="6">
        <v>-8900</v>
      </c>
      <c r="K61" s="6">
        <v>-8900</v>
      </c>
      <c r="L61" s="6">
        <v>-11200</v>
      </c>
      <c r="M61" s="6">
        <v>-11200</v>
      </c>
      <c r="N61" s="6">
        <v>-11200</v>
      </c>
      <c r="O61" s="6">
        <v>-11200</v>
      </c>
    </row>
    <row r="62">
      <c r="A62" s="0" t="inlineStr">
        <is>
          <t xml:space="preserve">Commissions</t>
        </is>
      </c>
      <c r="B62" s="0" t="inlineStr">
        <is>
          <t xml:space="preserve">United States</t>
        </is>
      </c>
      <c r="C62" s="0" t="inlineStr">
        <is>
          <t xml:space="preserve">Company (revenue and cost of revenue)</t>
        </is>
      </c>
    </row>
    <row r="63">
      <c r="A63" s="0" t="inlineStr">
        <is>
          <t xml:space="preserve">Commissions</t>
        </is>
      </c>
      <c r="B63" s="0" t="inlineStr">
        <is>
          <t xml:space="preserve">United States</t>
        </is>
      </c>
      <c r="C63" s="0" t="inlineStr">
        <is>
          <t xml:space="preserve">Sales</t>
        </is>
      </c>
      <c r="D63" s="6">
        <v>-181100</v>
      </c>
      <c r="E63" s="6">
        <v>-187400</v>
      </c>
      <c r="F63" s="6">
        <v>-201700</v>
      </c>
      <c r="G63" s="6">
        <v>-200500</v>
      </c>
      <c r="H63" s="6">
        <v>-205300</v>
      </c>
      <c r="I63" s="6">
        <v>-218700</v>
      </c>
      <c r="J63" s="6">
        <v>-211000</v>
      </c>
      <c r="K63" s="6">
        <v>-213900</v>
      </c>
      <c r="L63" s="6">
        <v>-230300</v>
      </c>
      <c r="M63" s="6">
        <v>-233500</v>
      </c>
      <c r="N63" s="6">
        <v>-236700</v>
      </c>
      <c r="O63" s="6">
        <v>-257000</v>
      </c>
    </row>
    <row r="64">
      <c r="A64" s="0" t="inlineStr">
        <is>
          <t xml:space="preserve">Commissions</t>
        </is>
      </c>
      <c r="B64" s="0" t="inlineStr">
        <is>
          <t xml:space="preserve">United States</t>
        </is>
      </c>
      <c r="C64" s="0" t="inlineStr">
        <is>
          <t xml:space="preserve">Marketing</t>
        </is>
      </c>
    </row>
    <row r="65">
      <c r="A65" s="0" t="inlineStr">
        <is>
          <t xml:space="preserve">Commissions</t>
        </is>
      </c>
      <c r="B65" s="0" t="inlineStr">
        <is>
          <t xml:space="preserve">United States</t>
        </is>
      </c>
      <c r="C65" s="0" t="inlineStr">
        <is>
          <t xml:space="preserve">Engineering</t>
        </is>
      </c>
    </row>
    <row r="66">
      <c r="A66" s="0" t="inlineStr">
        <is>
          <t xml:space="preserve">Commissions</t>
        </is>
      </c>
      <c r="B66" s="0" t="inlineStr">
        <is>
          <t xml:space="preserve">United States</t>
        </is>
      </c>
      <c r="C66" s="0" t="inlineStr">
        <is>
          <t xml:space="preserve">Customer success</t>
        </is>
      </c>
    </row>
    <row r="67">
      <c r="A67" s="0" t="inlineStr">
        <is>
          <t xml:space="preserve">Commissions</t>
        </is>
      </c>
      <c r="B67" s="0" t="inlineStr">
        <is>
          <t xml:space="preserve">United States</t>
        </is>
      </c>
      <c r="C67" s="0" t="inlineStr">
        <is>
          <t xml:space="preserve">G&amp;A</t>
        </is>
      </c>
    </row>
    <row r="68">
      <c r="A68" s="0" t="inlineStr">
        <is>
          <t xml:space="preserve">Commissions</t>
        </is>
      </c>
      <c r="B68" s="0" t="inlineStr">
        <is>
          <t xml:space="preserve">United Kingdom</t>
        </is>
      </c>
      <c r="C68" s="0" t="inlineStr">
        <is>
          <t xml:space="preserve">Company (revenue and cost of revenue)</t>
        </is>
      </c>
    </row>
    <row r="69">
      <c r="A69" s="0" t="inlineStr">
        <is>
          <t xml:space="preserve">Commissions</t>
        </is>
      </c>
      <c r="B69" s="0" t="inlineStr">
        <is>
          <t xml:space="preserve">United Kingdom</t>
        </is>
      </c>
      <c r="C69" s="0" t="inlineStr">
        <is>
          <t xml:space="preserve">Sales</t>
        </is>
      </c>
      <c r="D69" s="6">
        <v>-76100</v>
      </c>
      <c r="E69" s="6">
        <v>-78700</v>
      </c>
      <c r="F69" s="6">
        <v>-84700</v>
      </c>
      <c r="G69" s="6">
        <v>-84200</v>
      </c>
      <c r="H69" s="6">
        <v>-86200</v>
      </c>
      <c r="I69" s="6">
        <v>-91800</v>
      </c>
      <c r="J69" s="6">
        <v>-88600</v>
      </c>
      <c r="K69" s="6">
        <v>-89800</v>
      </c>
      <c r="L69" s="6">
        <v>-96700</v>
      </c>
      <c r="M69" s="6">
        <v>-98100</v>
      </c>
      <c r="N69" s="6">
        <v>-99400</v>
      </c>
      <c r="O69" s="6">
        <v>-107900</v>
      </c>
    </row>
    <row r="70">
      <c r="A70" s="0" t="inlineStr">
        <is>
          <t xml:space="preserve">Commissions</t>
        </is>
      </c>
      <c r="B70" s="0" t="inlineStr">
        <is>
          <t xml:space="preserve">United Kingdom</t>
        </is>
      </c>
      <c r="C70" s="0" t="inlineStr">
        <is>
          <t xml:space="preserve">Marketing</t>
        </is>
      </c>
    </row>
    <row r="71">
      <c r="A71" s="0" t="inlineStr">
        <is>
          <t xml:space="preserve">Commissions</t>
        </is>
      </c>
      <c r="B71" s="0" t="inlineStr">
        <is>
          <t xml:space="preserve">United Kingdom</t>
        </is>
      </c>
      <c r="C71" s="0" t="inlineStr">
        <is>
          <t xml:space="preserve">Engineering</t>
        </is>
      </c>
    </row>
    <row r="72">
      <c r="A72" s="0" t="inlineStr">
        <is>
          <t xml:space="preserve">Commissions</t>
        </is>
      </c>
      <c r="B72" s="0" t="inlineStr">
        <is>
          <t xml:space="preserve">United Kingdom</t>
        </is>
      </c>
      <c r="C72" s="0" t="inlineStr">
        <is>
          <t xml:space="preserve">Customer success</t>
        </is>
      </c>
    </row>
    <row r="73">
      <c r="A73" s="0" t="inlineStr">
        <is>
          <t xml:space="preserve">Commissions</t>
        </is>
      </c>
      <c r="B73" s="0" t="inlineStr">
        <is>
          <t xml:space="preserve">United Kingdom</t>
        </is>
      </c>
      <c r="C73" s="0" t="inlineStr">
        <is>
          <t xml:space="preserve">G&amp;A</t>
        </is>
      </c>
    </row>
    <row r="74">
      <c r="A74" s="0" t="inlineStr">
        <is>
          <t xml:space="preserve">Contractors</t>
        </is>
      </c>
      <c r="B74" s="0" t="inlineStr">
        <is>
          <t xml:space="preserve">United States</t>
        </is>
      </c>
      <c r="C74" s="0" t="inlineStr">
        <is>
          <t xml:space="preserve">Company (revenue and cost of revenue)</t>
        </is>
      </c>
    </row>
    <row r="75">
      <c r="A75" s="0" t="inlineStr">
        <is>
          <t xml:space="preserve">Contractors</t>
        </is>
      </c>
      <c r="B75" s="0" t="inlineStr">
        <is>
          <t xml:space="preserve">United States</t>
        </is>
      </c>
      <c r="C75" s="0" t="inlineStr">
        <is>
          <t xml:space="preserve">Sales</t>
        </is>
      </c>
    </row>
    <row r="76">
      <c r="A76" s="0" t="inlineStr">
        <is>
          <t xml:space="preserve">Contractors</t>
        </is>
      </c>
      <c r="B76" s="0" t="inlineStr">
        <is>
          <t xml:space="preserve">United States</t>
        </is>
      </c>
      <c r="C76" s="0" t="inlineStr">
        <is>
          <t xml:space="preserve">Marketing</t>
        </is>
      </c>
    </row>
    <row r="77">
      <c r="A77" s="0" t="inlineStr">
        <is>
          <t xml:space="preserve">Contractors</t>
        </is>
      </c>
      <c r="B77" s="0" t="inlineStr">
        <is>
          <t xml:space="preserve">United States</t>
        </is>
      </c>
      <c r="C77" s="0" t="inlineStr">
        <is>
          <t xml:space="preserve">Engineering</t>
        </is>
      </c>
      <c r="D77" s="6">
        <v>-62000</v>
      </c>
      <c r="E77" s="6">
        <v>-62200</v>
      </c>
      <c r="F77" s="6">
        <v>-62500</v>
      </c>
      <c r="G77" s="6">
        <v>-62700</v>
      </c>
      <c r="H77" s="6">
        <v>-63000</v>
      </c>
      <c r="I77" s="6">
        <v>-63200</v>
      </c>
      <c r="J77" s="6">
        <v>-63500</v>
      </c>
      <c r="K77" s="6">
        <v>-63800</v>
      </c>
      <c r="L77" s="6">
        <v>-64000</v>
      </c>
      <c r="M77" s="6">
        <v>-64300</v>
      </c>
      <c r="N77" s="6">
        <v>-64500</v>
      </c>
      <c r="O77" s="6">
        <v>-64800</v>
      </c>
    </row>
    <row r="78">
      <c r="A78" s="0" t="inlineStr">
        <is>
          <t xml:space="preserve">Contractors</t>
        </is>
      </c>
      <c r="B78" s="0" t="inlineStr">
        <is>
          <t xml:space="preserve">United States</t>
        </is>
      </c>
      <c r="C78" s="0" t="inlineStr">
        <is>
          <t xml:space="preserve">Customer success</t>
        </is>
      </c>
    </row>
    <row r="79">
      <c r="A79" s="0" t="inlineStr">
        <is>
          <t xml:space="preserve">Contractors</t>
        </is>
      </c>
      <c r="B79" s="0" t="inlineStr">
        <is>
          <t xml:space="preserve">United States</t>
        </is>
      </c>
      <c r="C79" s="0" t="inlineStr">
        <is>
          <t xml:space="preserve">G&amp;A</t>
        </is>
      </c>
    </row>
    <row r="80">
      <c r="A80" s="0" t="inlineStr">
        <is>
          <t xml:space="preserve">Contractors</t>
        </is>
      </c>
      <c r="B80" s="0" t="inlineStr">
        <is>
          <t xml:space="preserve">United Kingdom</t>
        </is>
      </c>
      <c r="C80" s="0" t="inlineStr">
        <is>
          <t xml:space="preserve">Company (revenue and cost of revenue)</t>
        </is>
      </c>
    </row>
    <row r="81">
      <c r="A81" s="0" t="inlineStr">
        <is>
          <t xml:space="preserve">Contractors</t>
        </is>
      </c>
      <c r="B81" s="0" t="inlineStr">
        <is>
          <t xml:space="preserve">United Kingdom</t>
        </is>
      </c>
      <c r="C81" s="0" t="inlineStr">
        <is>
          <t xml:space="preserve">Sales</t>
        </is>
      </c>
    </row>
    <row r="82">
      <c r="A82" s="0" t="inlineStr">
        <is>
          <t xml:space="preserve">Contractors</t>
        </is>
      </c>
      <c r="B82" s="0" t="inlineStr">
        <is>
          <t xml:space="preserve">United Kingdom</t>
        </is>
      </c>
      <c r="C82" s="0" t="inlineStr">
        <is>
          <t xml:space="preserve">Marketing</t>
        </is>
      </c>
    </row>
    <row r="83">
      <c r="A83" s="0" t="inlineStr">
        <is>
          <t xml:space="preserve">Contractors</t>
        </is>
      </c>
      <c r="B83" s="0" t="inlineStr">
        <is>
          <t xml:space="preserve">United Kingdom</t>
        </is>
      </c>
      <c r="C83" s="0" t="inlineStr">
        <is>
          <t xml:space="preserve">Engineering</t>
        </is>
      </c>
      <c r="D83" s="6">
        <v>-26000</v>
      </c>
      <c r="E83" s="6">
        <v>-26100</v>
      </c>
      <c r="F83" s="6">
        <v>-26200</v>
      </c>
      <c r="G83" s="6">
        <v>-26400</v>
      </c>
      <c r="H83" s="6">
        <v>-26500</v>
      </c>
      <c r="I83" s="6">
        <v>-26600</v>
      </c>
      <c r="J83" s="6">
        <v>-26700</v>
      </c>
      <c r="K83" s="6">
        <v>-26800</v>
      </c>
      <c r="L83" s="6">
        <v>-26900</v>
      </c>
      <c r="M83" s="6">
        <v>-27000</v>
      </c>
      <c r="N83" s="6">
        <v>-27100</v>
      </c>
      <c r="O83" s="6">
        <v>-27200</v>
      </c>
    </row>
    <row r="84">
      <c r="A84" s="0" t="inlineStr">
        <is>
          <t xml:space="preserve">Contractors</t>
        </is>
      </c>
      <c r="B84" s="0" t="inlineStr">
        <is>
          <t xml:space="preserve">United Kingdom</t>
        </is>
      </c>
      <c r="C84" s="0" t="inlineStr">
        <is>
          <t xml:space="preserve">Customer success</t>
        </is>
      </c>
    </row>
    <row r="85">
      <c r="A85" s="0" t="inlineStr">
        <is>
          <t xml:space="preserve">Contractors</t>
        </is>
      </c>
      <c r="B85" s="0" t="inlineStr">
        <is>
          <t xml:space="preserve">United Kingdom</t>
        </is>
      </c>
      <c r="C85" s="0" t="inlineStr">
        <is>
          <t xml:space="preserve">G&amp;A</t>
        </is>
      </c>
    </row>
    <row r="86">
      <c r="A86" s="0" t="inlineStr">
        <is>
          <t xml:space="preserve">Cloud and infrastructure</t>
        </is>
      </c>
      <c r="B86" s="0" t="inlineStr">
        <is>
          <t xml:space="preserve">United States</t>
        </is>
      </c>
      <c r="C86" s="0" t="inlineStr">
        <is>
          <t xml:space="preserve">Company (revenue and cost of revenue)</t>
        </is>
      </c>
    </row>
    <row r="87">
      <c r="A87" s="0" t="inlineStr">
        <is>
          <t xml:space="preserve">Cloud and infrastructure</t>
        </is>
      </c>
      <c r="B87" s="0" t="inlineStr">
        <is>
          <t xml:space="preserve">United States</t>
        </is>
      </c>
      <c r="C87" s="0" t="inlineStr">
        <is>
          <t xml:space="preserve">Sales</t>
        </is>
      </c>
    </row>
    <row r="88">
      <c r="A88" s="0" t="inlineStr">
        <is>
          <t xml:space="preserve">Cloud and infrastructure</t>
        </is>
      </c>
      <c r="B88" s="0" t="inlineStr">
        <is>
          <t xml:space="preserve">United States</t>
        </is>
      </c>
      <c r="C88" s="0" t="inlineStr">
        <is>
          <t xml:space="preserve">Marketing</t>
        </is>
      </c>
    </row>
    <row r="89">
      <c r="A89" s="0" t="inlineStr">
        <is>
          <t xml:space="preserve">Cloud and infrastructure</t>
        </is>
      </c>
      <c r="B89" s="0" t="inlineStr">
        <is>
          <t xml:space="preserve">United States</t>
        </is>
      </c>
      <c r="C89" s="0" t="inlineStr">
        <is>
          <t xml:space="preserve">Engineering</t>
        </is>
      </c>
      <c r="D89" s="6">
        <v>-301900</v>
      </c>
      <c r="E89" s="6">
        <v>-312300</v>
      </c>
      <c r="F89" s="6">
        <v>-336200</v>
      </c>
      <c r="G89" s="6">
        <v>-334200</v>
      </c>
      <c r="H89" s="6">
        <v>-342200</v>
      </c>
      <c r="I89" s="6">
        <v>-364500</v>
      </c>
      <c r="J89" s="6">
        <v>-351700</v>
      </c>
      <c r="K89" s="6">
        <v>-356400</v>
      </c>
      <c r="L89" s="6">
        <v>-383800</v>
      </c>
      <c r="M89" s="6">
        <v>-389200</v>
      </c>
      <c r="N89" s="6">
        <v>-394600</v>
      </c>
      <c r="O89" s="6">
        <v>-428300</v>
      </c>
    </row>
    <row r="90">
      <c r="A90" s="0" t="inlineStr">
        <is>
          <t xml:space="preserve">Cloud and infrastructure</t>
        </is>
      </c>
      <c r="B90" s="0" t="inlineStr">
        <is>
          <t xml:space="preserve">United States</t>
        </is>
      </c>
      <c r="C90" s="0" t="inlineStr">
        <is>
          <t xml:space="preserve">Customer success</t>
        </is>
      </c>
    </row>
    <row r="91">
      <c r="A91" s="0" t="inlineStr">
        <is>
          <t xml:space="preserve">Cloud and infrastructure</t>
        </is>
      </c>
      <c r="B91" s="0" t="inlineStr">
        <is>
          <t xml:space="preserve">United States</t>
        </is>
      </c>
      <c r="C91" s="0" t="inlineStr">
        <is>
          <t xml:space="preserve">G&amp;A</t>
        </is>
      </c>
    </row>
    <row r="92">
      <c r="A92" s="0" t="inlineStr">
        <is>
          <t xml:space="preserve">Cloud and infrastructure</t>
        </is>
      </c>
      <c r="B92" s="0" t="inlineStr">
        <is>
          <t xml:space="preserve">United Kingdom</t>
        </is>
      </c>
      <c r="C92" s="0" t="inlineStr">
        <is>
          <t xml:space="preserve">Company (revenue and cost of revenue)</t>
        </is>
      </c>
    </row>
    <row r="93">
      <c r="A93" s="0" t="inlineStr">
        <is>
          <t xml:space="preserve">Cloud and infrastructure</t>
        </is>
      </c>
      <c r="B93" s="0" t="inlineStr">
        <is>
          <t xml:space="preserve">United Kingdom</t>
        </is>
      </c>
      <c r="C93" s="0" t="inlineStr">
        <is>
          <t xml:space="preserve">Sales</t>
        </is>
      </c>
    </row>
    <row r="94">
      <c r="A94" s="0" t="inlineStr">
        <is>
          <t xml:space="preserve">Cloud and infrastructure</t>
        </is>
      </c>
      <c r="B94" s="0" t="inlineStr">
        <is>
          <t xml:space="preserve">United Kingdom</t>
        </is>
      </c>
      <c r="C94" s="0" t="inlineStr">
        <is>
          <t xml:space="preserve">Marketing</t>
        </is>
      </c>
    </row>
    <row r="95">
      <c r="A95" s="0" t="inlineStr">
        <is>
          <t xml:space="preserve">Cloud and infrastructure</t>
        </is>
      </c>
      <c r="B95" s="0" t="inlineStr">
        <is>
          <t xml:space="preserve">United Kingdom</t>
        </is>
      </c>
      <c r="C95" s="0" t="inlineStr">
        <is>
          <t xml:space="preserve">Engineering</t>
        </is>
      </c>
      <c r="D95" s="6">
        <v>-126800</v>
      </c>
      <c r="E95" s="6">
        <v>-131200</v>
      </c>
      <c r="F95" s="6">
        <v>-141200</v>
      </c>
      <c r="G95" s="6">
        <v>-140400</v>
      </c>
      <c r="H95" s="6">
        <v>-143700</v>
      </c>
      <c r="I95" s="6">
        <v>-153100</v>
      </c>
      <c r="J95" s="6">
        <v>-147700</v>
      </c>
      <c r="K95" s="6">
        <v>-149700</v>
      </c>
      <c r="L95" s="6">
        <v>-161200</v>
      </c>
      <c r="M95" s="6">
        <v>-163400</v>
      </c>
      <c r="N95" s="6">
        <v>-165700</v>
      </c>
      <c r="O95" s="6">
        <v>-179900</v>
      </c>
    </row>
    <row r="96">
      <c r="A96" s="0" t="inlineStr">
        <is>
          <t xml:space="preserve">Cloud and infrastructure</t>
        </is>
      </c>
      <c r="B96" s="0" t="inlineStr">
        <is>
          <t xml:space="preserve">United Kingdom</t>
        </is>
      </c>
      <c r="C96" s="0" t="inlineStr">
        <is>
          <t xml:space="preserve">Customer success</t>
        </is>
      </c>
    </row>
    <row r="97">
      <c r="A97" s="0" t="inlineStr">
        <is>
          <t xml:space="preserve">Cloud and infrastructure</t>
        </is>
      </c>
      <c r="B97" s="0" t="inlineStr">
        <is>
          <t xml:space="preserve">United Kingdom</t>
        </is>
      </c>
      <c r="C97" s="0" t="inlineStr">
        <is>
          <t xml:space="preserve">G&amp;A</t>
        </is>
      </c>
    </row>
    <row r="98">
      <c r="A98" s="0" t="inlineStr">
        <is>
          <t xml:space="preserve">Marketing programs</t>
        </is>
      </c>
      <c r="B98" s="0" t="inlineStr">
        <is>
          <t xml:space="preserve">United States</t>
        </is>
      </c>
      <c r="C98" s="0" t="inlineStr">
        <is>
          <t xml:space="preserve">Company (revenue and cost of revenue)</t>
        </is>
      </c>
    </row>
    <row r="99">
      <c r="A99" s="0" t="inlineStr">
        <is>
          <t xml:space="preserve">Marketing programs</t>
        </is>
      </c>
      <c r="B99" s="0" t="inlineStr">
        <is>
          <t xml:space="preserve">United States</t>
        </is>
      </c>
      <c r="C99" s="0" t="inlineStr">
        <is>
          <t xml:space="preserve">Sales</t>
        </is>
      </c>
    </row>
    <row r="100">
      <c r="A100" s="0" t="inlineStr">
        <is>
          <t xml:space="preserve">Marketing programs</t>
        </is>
      </c>
      <c r="B100" s="0" t="inlineStr">
        <is>
          <t xml:space="preserve">United States</t>
        </is>
      </c>
      <c r="C100" s="0" t="inlineStr">
        <is>
          <t xml:space="preserve">Marketing</t>
        </is>
      </c>
      <c r="D100" s="6">
        <v>-322000</v>
      </c>
      <c r="E100" s="6">
        <v>-333200</v>
      </c>
      <c r="F100" s="6">
        <v>-358600</v>
      </c>
      <c r="G100" s="6">
        <v>-356500</v>
      </c>
      <c r="H100" s="6">
        <v>-365000</v>
      </c>
      <c r="I100" s="6">
        <v>-388800</v>
      </c>
      <c r="J100" s="6">
        <v>-375100</v>
      </c>
      <c r="K100" s="6">
        <v>-380200</v>
      </c>
      <c r="L100" s="6">
        <v>-409400</v>
      </c>
      <c r="M100" s="6">
        <v>-415100</v>
      </c>
      <c r="N100" s="6">
        <v>-420900</v>
      </c>
      <c r="O100" s="6">
        <v>-456800</v>
      </c>
    </row>
    <row r="101">
      <c r="A101" s="0" t="inlineStr">
        <is>
          <t xml:space="preserve">Marketing programs</t>
        </is>
      </c>
      <c r="B101" s="0" t="inlineStr">
        <is>
          <t xml:space="preserve">United States</t>
        </is>
      </c>
      <c r="C101" s="0" t="inlineStr">
        <is>
          <t xml:space="preserve">Engineering</t>
        </is>
      </c>
    </row>
    <row r="102">
      <c r="A102" s="0" t="inlineStr">
        <is>
          <t xml:space="preserve">Marketing programs</t>
        </is>
      </c>
      <c r="B102" s="0" t="inlineStr">
        <is>
          <t xml:space="preserve">United States</t>
        </is>
      </c>
      <c r="C102" s="0" t="inlineStr">
        <is>
          <t xml:space="preserve">Customer success</t>
        </is>
      </c>
    </row>
    <row r="103">
      <c r="A103" s="0" t="inlineStr">
        <is>
          <t xml:space="preserve">Marketing programs</t>
        </is>
      </c>
      <c r="B103" s="0" t="inlineStr">
        <is>
          <t xml:space="preserve">United States</t>
        </is>
      </c>
      <c r="C103" s="0" t="inlineStr">
        <is>
          <t xml:space="preserve">G&amp;A</t>
        </is>
      </c>
    </row>
    <row r="104">
      <c r="A104" s="0" t="inlineStr">
        <is>
          <t xml:space="preserve">Marketing programs</t>
        </is>
      </c>
      <c r="B104" s="0" t="inlineStr">
        <is>
          <t xml:space="preserve">United Kingdom</t>
        </is>
      </c>
      <c r="C104" s="0" t="inlineStr">
        <is>
          <t xml:space="preserve">Company (revenue and cost of revenue)</t>
        </is>
      </c>
    </row>
    <row r="105">
      <c r="A105" s="0" t="inlineStr">
        <is>
          <t xml:space="preserve">Marketing programs</t>
        </is>
      </c>
      <c r="B105" s="0" t="inlineStr">
        <is>
          <t xml:space="preserve">United Kingdom</t>
        </is>
      </c>
      <c r="C105" s="0" t="inlineStr">
        <is>
          <t xml:space="preserve">Sales</t>
        </is>
      </c>
    </row>
    <row r="106">
      <c r="A106" s="0" t="inlineStr">
        <is>
          <t xml:space="preserve">Marketing programs</t>
        </is>
      </c>
      <c r="B106" s="0" t="inlineStr">
        <is>
          <t xml:space="preserve">United Kingdom</t>
        </is>
      </c>
      <c r="C106" s="0" t="inlineStr">
        <is>
          <t xml:space="preserve">Marketing</t>
        </is>
      </c>
      <c r="D106" s="6">
        <v>-135300</v>
      </c>
      <c r="E106" s="6">
        <v>-139900</v>
      </c>
      <c r="F106" s="6">
        <v>-150600</v>
      </c>
      <c r="G106" s="6">
        <v>-149700</v>
      </c>
      <c r="H106" s="6">
        <v>-153300</v>
      </c>
      <c r="I106" s="6">
        <v>-163300</v>
      </c>
      <c r="J106" s="6">
        <v>-157500</v>
      </c>
      <c r="K106" s="6">
        <v>-159700</v>
      </c>
      <c r="L106" s="6">
        <v>-171900</v>
      </c>
      <c r="M106" s="6">
        <v>-174300</v>
      </c>
      <c r="N106" s="6">
        <v>-176800</v>
      </c>
      <c r="O106" s="6">
        <v>-191900</v>
      </c>
    </row>
    <row r="107">
      <c r="A107" s="0" t="inlineStr">
        <is>
          <t xml:space="preserve">Marketing programs</t>
        </is>
      </c>
      <c r="B107" s="0" t="inlineStr">
        <is>
          <t xml:space="preserve">United Kingdom</t>
        </is>
      </c>
      <c r="C107" s="0" t="inlineStr">
        <is>
          <t xml:space="preserve">Engineering</t>
        </is>
      </c>
    </row>
    <row r="108">
      <c r="A108" s="0" t="inlineStr">
        <is>
          <t xml:space="preserve">Marketing programs</t>
        </is>
      </c>
      <c r="B108" s="0" t="inlineStr">
        <is>
          <t xml:space="preserve">United Kingdom</t>
        </is>
      </c>
      <c r="C108" s="0" t="inlineStr">
        <is>
          <t xml:space="preserve">Customer success</t>
        </is>
      </c>
    </row>
    <row r="109">
      <c r="A109" s="0" t="inlineStr">
        <is>
          <t xml:space="preserve">Marketing programs</t>
        </is>
      </c>
      <c r="B109" s="0" t="inlineStr">
        <is>
          <t xml:space="preserve">United Kingdom</t>
        </is>
      </c>
      <c r="C109" s="0" t="inlineStr">
        <is>
          <t xml:space="preserve">G&amp;A</t>
        </is>
      </c>
    </row>
    <row r="110">
      <c r="A110" s="0" t="inlineStr">
        <is>
          <t xml:space="preserve">Software and tools</t>
        </is>
      </c>
      <c r="B110" s="0" t="inlineStr">
        <is>
          <t xml:space="preserve">United States</t>
        </is>
      </c>
      <c r="C110" s="0" t="inlineStr">
        <is>
          <t xml:space="preserve">Company (revenue and cost of revenue)</t>
        </is>
      </c>
    </row>
    <row r="111">
      <c r="A111" s="0" t="inlineStr">
        <is>
          <t xml:space="preserve">Software and tools</t>
        </is>
      </c>
      <c r="B111" s="0" t="inlineStr">
        <is>
          <t xml:space="preserve">United States</t>
        </is>
      </c>
      <c r="C111" s="0" t="inlineStr">
        <is>
          <t xml:space="preserve">Sales</t>
        </is>
      </c>
      <c r="D111" s="6">
        <v>-9000</v>
      </c>
      <c r="E111" s="6">
        <v>-9000</v>
      </c>
      <c r="F111" s="6">
        <v>-9100</v>
      </c>
      <c r="G111" s="6">
        <v>-9100</v>
      </c>
      <c r="H111" s="6">
        <v>-9100</v>
      </c>
      <c r="I111" s="6">
        <v>-9200</v>
      </c>
      <c r="J111" s="6">
        <v>-9200</v>
      </c>
      <c r="K111" s="6">
        <v>-9300</v>
      </c>
      <c r="L111" s="6">
        <v>-9300</v>
      </c>
      <c r="M111" s="6">
        <v>-9300</v>
      </c>
      <c r="N111" s="6">
        <v>-9400</v>
      </c>
      <c r="O111" s="6">
        <v>-9400</v>
      </c>
    </row>
    <row r="112">
      <c r="A112" s="0" t="inlineStr">
        <is>
          <t xml:space="preserve">Software and tools</t>
        </is>
      </c>
      <c r="B112" s="0" t="inlineStr">
        <is>
          <t xml:space="preserve">United States</t>
        </is>
      </c>
      <c r="C112" s="0" t="inlineStr">
        <is>
          <t xml:space="preserve">Marketing</t>
        </is>
      </c>
      <c r="D112" s="6">
        <v>-14000</v>
      </c>
      <c r="E112" s="6">
        <v>-14100</v>
      </c>
      <c r="F112" s="6">
        <v>-14100</v>
      </c>
      <c r="G112" s="6">
        <v>-14200</v>
      </c>
      <c r="H112" s="6">
        <v>-14200</v>
      </c>
      <c r="I112" s="6">
        <v>-14300</v>
      </c>
      <c r="J112" s="6">
        <v>-14300</v>
      </c>
      <c r="K112" s="6">
        <v>-14400</v>
      </c>
      <c r="L112" s="6">
        <v>-14500</v>
      </c>
      <c r="M112" s="6">
        <v>-14500</v>
      </c>
      <c r="N112" s="6">
        <v>-14600</v>
      </c>
      <c r="O112" s="6">
        <v>-14600</v>
      </c>
    </row>
    <row r="113">
      <c r="A113" s="0" t="inlineStr">
        <is>
          <t xml:space="preserve">Software and tools</t>
        </is>
      </c>
      <c r="B113" s="0" t="inlineStr">
        <is>
          <t xml:space="preserve">United States</t>
        </is>
      </c>
      <c r="C113" s="0" t="inlineStr">
        <is>
          <t xml:space="preserve">Engineering</t>
        </is>
      </c>
      <c r="D113" s="6">
        <v>-21000</v>
      </c>
      <c r="E113" s="6">
        <v>-21100</v>
      </c>
      <c r="F113" s="6">
        <v>-21200</v>
      </c>
      <c r="G113" s="6">
        <v>-21300</v>
      </c>
      <c r="H113" s="6">
        <v>-21300</v>
      </c>
      <c r="I113" s="6">
        <v>-21400</v>
      </c>
      <c r="J113" s="6">
        <v>-21500</v>
      </c>
      <c r="K113" s="6">
        <v>-21600</v>
      </c>
      <c r="L113" s="6">
        <v>-21700</v>
      </c>
      <c r="M113" s="6">
        <v>-21800</v>
      </c>
      <c r="N113" s="6">
        <v>-21900</v>
      </c>
      <c r="O113" s="6">
        <v>-21900</v>
      </c>
    </row>
    <row r="114">
      <c r="A114" s="0" t="inlineStr">
        <is>
          <t xml:space="preserve">Software and tools</t>
        </is>
      </c>
      <c r="B114" s="0" t="inlineStr">
        <is>
          <t xml:space="preserve">United States</t>
        </is>
      </c>
      <c r="C114" s="0" t="inlineStr">
        <is>
          <t xml:space="preserve">Customer success</t>
        </is>
      </c>
      <c r="D114" s="6">
        <v>-7000</v>
      </c>
      <c r="E114" s="6">
        <v>-7000</v>
      </c>
      <c r="F114" s="6">
        <v>-7100</v>
      </c>
      <c r="G114" s="6">
        <v>-7100</v>
      </c>
      <c r="H114" s="6">
        <v>-7100</v>
      </c>
      <c r="I114" s="6">
        <v>-7100</v>
      </c>
      <c r="J114" s="6">
        <v>-7200</v>
      </c>
      <c r="K114" s="6">
        <v>-7200</v>
      </c>
      <c r="L114" s="6">
        <v>-7200</v>
      </c>
      <c r="M114" s="6">
        <v>-7300</v>
      </c>
      <c r="N114" s="6">
        <v>-7300</v>
      </c>
      <c r="O114" s="6">
        <v>-7300</v>
      </c>
    </row>
    <row r="115">
      <c r="A115" s="0" t="inlineStr">
        <is>
          <t xml:space="preserve">Software and tools</t>
        </is>
      </c>
      <c r="B115" s="0" t="inlineStr">
        <is>
          <t xml:space="preserve">United States</t>
        </is>
      </c>
      <c r="C115" s="0" t="inlineStr">
        <is>
          <t xml:space="preserve">G&amp;A</t>
        </is>
      </c>
      <c r="D115" s="6">
        <v>-11000</v>
      </c>
      <c r="E115" s="6">
        <v>-11000</v>
      </c>
      <c r="F115" s="6">
        <v>-11100</v>
      </c>
      <c r="G115" s="6">
        <v>-11100</v>
      </c>
      <c r="H115" s="6">
        <v>-11200</v>
      </c>
      <c r="I115" s="6">
        <v>-11200</v>
      </c>
      <c r="J115" s="6">
        <v>-11300</v>
      </c>
      <c r="K115" s="6">
        <v>-11300</v>
      </c>
      <c r="L115" s="6">
        <v>-11400</v>
      </c>
      <c r="M115" s="6">
        <v>-11400</v>
      </c>
      <c r="N115" s="6">
        <v>-11400</v>
      </c>
      <c r="O115" s="6">
        <v>-11500</v>
      </c>
    </row>
    <row r="116">
      <c r="A116" s="0" t="inlineStr">
        <is>
          <t xml:space="preserve">Software and tools</t>
        </is>
      </c>
      <c r="B116" s="0" t="inlineStr">
        <is>
          <t xml:space="preserve">United Kingdom</t>
        </is>
      </c>
      <c r="C116" s="0" t="inlineStr">
        <is>
          <t xml:space="preserve">Company (revenue and cost of revenue)</t>
        </is>
      </c>
    </row>
    <row r="117">
      <c r="A117" s="0" t="inlineStr">
        <is>
          <t xml:space="preserve">Software and tools</t>
        </is>
      </c>
      <c r="B117" s="0" t="inlineStr">
        <is>
          <t xml:space="preserve">United Kingdom</t>
        </is>
      </c>
      <c r="C117" s="0" t="inlineStr">
        <is>
          <t xml:space="preserve">Sales</t>
        </is>
      </c>
      <c r="D117" s="6">
        <v>-3800</v>
      </c>
      <c r="E117" s="6">
        <v>-3800</v>
      </c>
      <c r="F117" s="6">
        <v>-3800</v>
      </c>
      <c r="G117" s="6">
        <v>-3800</v>
      </c>
      <c r="H117" s="6">
        <v>-3800</v>
      </c>
      <c r="I117" s="6">
        <v>-3900</v>
      </c>
      <c r="J117" s="6">
        <v>-3900</v>
      </c>
      <c r="K117" s="6">
        <v>-3900</v>
      </c>
      <c r="L117" s="6">
        <v>-3900</v>
      </c>
      <c r="M117" s="6">
        <v>-3900</v>
      </c>
      <c r="N117" s="6">
        <v>-3900</v>
      </c>
      <c r="O117" s="6">
        <v>-3900</v>
      </c>
    </row>
    <row r="118">
      <c r="A118" s="0" t="inlineStr">
        <is>
          <t xml:space="preserve">Software and tools</t>
        </is>
      </c>
      <c r="B118" s="0" t="inlineStr">
        <is>
          <t xml:space="preserve">United Kingdom</t>
        </is>
      </c>
      <c r="C118" s="0" t="inlineStr">
        <is>
          <t xml:space="preserve">Marketing</t>
        </is>
      </c>
      <c r="D118" s="6">
        <v>-5900</v>
      </c>
      <c r="E118" s="6">
        <v>-5900</v>
      </c>
      <c r="F118" s="6">
        <v>-5900</v>
      </c>
      <c r="G118" s="6">
        <v>-6000</v>
      </c>
      <c r="H118" s="6">
        <v>-6000</v>
      </c>
      <c r="I118" s="6">
        <v>-6000</v>
      </c>
      <c r="J118" s="6">
        <v>-6000</v>
      </c>
      <c r="K118" s="6">
        <v>-6000</v>
      </c>
      <c r="L118" s="6">
        <v>-6100</v>
      </c>
      <c r="M118" s="6">
        <v>-6100</v>
      </c>
      <c r="N118" s="6">
        <v>-6100</v>
      </c>
      <c r="O118" s="6">
        <v>-6100</v>
      </c>
    </row>
    <row r="119">
      <c r="A119" s="0" t="inlineStr">
        <is>
          <t xml:space="preserve">Software and tools</t>
        </is>
      </c>
      <c r="B119" s="0" t="inlineStr">
        <is>
          <t xml:space="preserve">United Kingdom</t>
        </is>
      </c>
      <c r="C119" s="0" t="inlineStr">
        <is>
          <t xml:space="preserve">Engineering</t>
        </is>
      </c>
      <c r="D119" s="6">
        <v>-8800</v>
      </c>
      <c r="E119" s="6">
        <v>-8900</v>
      </c>
      <c r="F119" s="6">
        <v>-8900</v>
      </c>
      <c r="G119" s="6">
        <v>-8900</v>
      </c>
      <c r="H119" s="6">
        <v>-9000</v>
      </c>
      <c r="I119" s="6">
        <v>-9000</v>
      </c>
      <c r="J119" s="6">
        <v>-9000</v>
      </c>
      <c r="K119" s="6">
        <v>-9100</v>
      </c>
      <c r="L119" s="6">
        <v>-9100</v>
      </c>
      <c r="M119" s="6">
        <v>-9100</v>
      </c>
      <c r="N119" s="6">
        <v>-9200</v>
      </c>
      <c r="O119" s="6">
        <v>-9200</v>
      </c>
    </row>
    <row r="120">
      <c r="A120" s="0" t="inlineStr">
        <is>
          <t xml:space="preserve">Software and tools</t>
        </is>
      </c>
      <c r="B120" s="0" t="inlineStr">
        <is>
          <t xml:space="preserve">United Kingdom</t>
        </is>
      </c>
      <c r="C120" s="0" t="inlineStr">
        <is>
          <t xml:space="preserve">Customer success</t>
        </is>
      </c>
      <c r="D120" s="6">
        <v>-2900</v>
      </c>
      <c r="E120" s="6">
        <v>-3000</v>
      </c>
      <c r="F120" s="6">
        <v>-3000</v>
      </c>
      <c r="G120" s="6">
        <v>-3000</v>
      </c>
      <c r="H120" s="6">
        <v>-3000</v>
      </c>
      <c r="I120" s="6">
        <v>-3000</v>
      </c>
      <c r="J120" s="6">
        <v>-3000</v>
      </c>
      <c r="K120" s="6">
        <v>-3000</v>
      </c>
      <c r="L120" s="6">
        <v>-3000</v>
      </c>
      <c r="M120" s="6">
        <v>-3000</v>
      </c>
      <c r="N120" s="6">
        <v>-3100</v>
      </c>
      <c r="O120" s="6">
        <v>-3100</v>
      </c>
    </row>
    <row r="121">
      <c r="A121" s="0" t="inlineStr">
        <is>
          <t xml:space="preserve">Software and tools</t>
        </is>
      </c>
      <c r="B121" s="0" t="inlineStr">
        <is>
          <t xml:space="preserve">United Kingdom</t>
        </is>
      </c>
      <c r="C121" s="0" t="inlineStr">
        <is>
          <t xml:space="preserve">G&amp;A</t>
        </is>
      </c>
      <c r="D121" s="6">
        <v>-4600</v>
      </c>
      <c r="E121" s="6">
        <v>-4600</v>
      </c>
      <c r="F121" s="6">
        <v>-4700</v>
      </c>
      <c r="G121" s="6">
        <v>-4700</v>
      </c>
      <c r="H121" s="6">
        <v>-4700</v>
      </c>
      <c r="I121" s="6">
        <v>-4700</v>
      </c>
      <c r="J121" s="6">
        <v>-4700</v>
      </c>
      <c r="K121" s="6">
        <v>-4800</v>
      </c>
      <c r="L121" s="6">
        <v>-4800</v>
      </c>
      <c r="M121" s="6">
        <v>-4800</v>
      </c>
      <c r="N121" s="6">
        <v>-4800</v>
      </c>
      <c r="O121" s="6">
        <v>-4800</v>
      </c>
    </row>
    <row r="122">
      <c r="A122" s="0" t="inlineStr">
        <is>
          <t xml:space="preserve">Travel and events</t>
        </is>
      </c>
      <c r="B122" s="0" t="inlineStr">
        <is>
          <t xml:space="preserve">United States</t>
        </is>
      </c>
      <c r="C122" s="0" t="inlineStr">
        <is>
          <t xml:space="preserve">Company (revenue and cost of revenue)</t>
        </is>
      </c>
    </row>
    <row r="123">
      <c r="A123" s="0" t="inlineStr">
        <is>
          <t xml:space="preserve">Travel and events</t>
        </is>
      </c>
      <c r="B123" s="0" t="inlineStr">
        <is>
          <t xml:space="preserve">United States</t>
        </is>
      </c>
      <c r="C123" s="0" t="inlineStr">
        <is>
          <t xml:space="preserve">Sales</t>
        </is>
      </c>
      <c r="D123" s="6">
        <v>-38000</v>
      </c>
      <c r="E123" s="6">
        <v>-38200</v>
      </c>
      <c r="F123" s="6">
        <v>-38300</v>
      </c>
      <c r="G123" s="6">
        <v>-38500</v>
      </c>
      <c r="H123" s="6">
        <v>-38600</v>
      </c>
      <c r="I123" s="6">
        <v>-38800</v>
      </c>
      <c r="J123" s="6">
        <v>-38900</v>
      </c>
      <c r="K123" s="6">
        <v>-39100</v>
      </c>
      <c r="L123" s="6">
        <v>-39200</v>
      </c>
      <c r="M123" s="6">
        <v>-39400</v>
      </c>
      <c r="N123" s="6">
        <v>-39500</v>
      </c>
      <c r="O123" s="6">
        <v>-39700</v>
      </c>
    </row>
    <row r="124">
      <c r="A124" s="0" t="inlineStr">
        <is>
          <t xml:space="preserve">Travel and events</t>
        </is>
      </c>
      <c r="B124" s="0" t="inlineStr">
        <is>
          <t xml:space="preserve">United States</t>
        </is>
      </c>
      <c r="C124" s="0" t="inlineStr">
        <is>
          <t xml:space="preserve">Marketing</t>
        </is>
      </c>
      <c r="D124" s="6">
        <v>-12000</v>
      </c>
      <c r="E124" s="6">
        <v>-12000</v>
      </c>
      <c r="F124" s="6">
        <v>-12100</v>
      </c>
      <c r="G124" s="6">
        <v>-12100</v>
      </c>
      <c r="H124" s="6">
        <v>-12200</v>
      </c>
      <c r="I124" s="6">
        <v>-12200</v>
      </c>
      <c r="J124" s="6">
        <v>-12300</v>
      </c>
      <c r="K124" s="6">
        <v>-12300</v>
      </c>
      <c r="L124" s="6">
        <v>-12400</v>
      </c>
      <c r="M124" s="6">
        <v>-12400</v>
      </c>
      <c r="N124" s="6">
        <v>-12500</v>
      </c>
      <c r="O124" s="6">
        <v>-12500</v>
      </c>
    </row>
    <row r="125">
      <c r="A125" s="0" t="inlineStr">
        <is>
          <t xml:space="preserve">Travel and events</t>
        </is>
      </c>
      <c r="B125" s="0" t="inlineStr">
        <is>
          <t xml:space="preserve">United States</t>
        </is>
      </c>
      <c r="C125" s="0" t="inlineStr">
        <is>
          <t xml:space="preserve">Engineering</t>
        </is>
      </c>
    </row>
    <row r="126">
      <c r="A126" s="0" t="inlineStr">
        <is>
          <t xml:space="preserve">Travel and events</t>
        </is>
      </c>
      <c r="B126" s="0" t="inlineStr">
        <is>
          <t xml:space="preserve">United States</t>
        </is>
      </c>
      <c r="C126" s="0" t="inlineStr">
        <is>
          <t xml:space="preserve">Customer success</t>
        </is>
      </c>
      <c r="D126" s="6">
        <v>-4000</v>
      </c>
      <c r="E126" s="6">
        <v>-4000</v>
      </c>
      <c r="F126" s="6">
        <v>-4000</v>
      </c>
      <c r="G126" s="6">
        <v>-4000</v>
      </c>
      <c r="H126" s="6">
        <v>-4100</v>
      </c>
      <c r="I126" s="6">
        <v>-4100</v>
      </c>
      <c r="J126" s="6">
        <v>-4100</v>
      </c>
      <c r="K126" s="6">
        <v>-4100</v>
      </c>
      <c r="L126" s="6">
        <v>-4100</v>
      </c>
      <c r="M126" s="6">
        <v>-4100</v>
      </c>
      <c r="N126" s="6">
        <v>-4200</v>
      </c>
      <c r="O126" s="6">
        <v>-4200</v>
      </c>
    </row>
    <row r="127">
      <c r="A127" s="0" t="inlineStr">
        <is>
          <t xml:space="preserve">Travel and events</t>
        </is>
      </c>
      <c r="B127" s="0" t="inlineStr">
        <is>
          <t xml:space="preserve">United States</t>
        </is>
      </c>
      <c r="C127" s="0" t="inlineStr">
        <is>
          <t xml:space="preserve">G&amp;A</t>
        </is>
      </c>
      <c r="D127" s="6">
        <v>-6000</v>
      </c>
      <c r="E127" s="6">
        <v>-6000</v>
      </c>
      <c r="F127" s="6">
        <v>-6000</v>
      </c>
      <c r="G127" s="6">
        <v>-6100</v>
      </c>
      <c r="H127" s="6">
        <v>-6100</v>
      </c>
      <c r="I127" s="6">
        <v>-6100</v>
      </c>
      <c r="J127" s="6">
        <v>-6100</v>
      </c>
      <c r="K127" s="6">
        <v>-6200</v>
      </c>
      <c r="L127" s="6">
        <v>-6200</v>
      </c>
      <c r="M127" s="6">
        <v>-6200</v>
      </c>
      <c r="N127" s="6">
        <v>-6200</v>
      </c>
      <c r="O127" s="6">
        <v>-6300</v>
      </c>
    </row>
    <row r="128">
      <c r="A128" s="0" t="inlineStr">
        <is>
          <t xml:space="preserve">Travel and events</t>
        </is>
      </c>
      <c r="B128" s="0" t="inlineStr">
        <is>
          <t xml:space="preserve">United Kingdom</t>
        </is>
      </c>
      <c r="C128" s="0" t="inlineStr">
        <is>
          <t xml:space="preserve">Company (revenue and cost of revenue)</t>
        </is>
      </c>
    </row>
    <row r="129">
      <c r="A129" s="0" t="inlineStr">
        <is>
          <t xml:space="preserve">Travel and events</t>
        </is>
      </c>
      <c r="B129" s="0" t="inlineStr">
        <is>
          <t xml:space="preserve">United Kingdom</t>
        </is>
      </c>
      <c r="C129" s="0" t="inlineStr">
        <is>
          <t xml:space="preserve">Sales</t>
        </is>
      </c>
      <c r="D129" s="6">
        <v>-16000</v>
      </c>
      <c r="E129" s="6">
        <v>-16000</v>
      </c>
      <c r="F129" s="6">
        <v>-16100</v>
      </c>
      <c r="G129" s="6">
        <v>-16200</v>
      </c>
      <c r="H129" s="6">
        <v>-16200</v>
      </c>
      <c r="I129" s="6">
        <v>-16300</v>
      </c>
      <c r="J129" s="6">
        <v>-16300</v>
      </c>
      <c r="K129" s="6">
        <v>-16400</v>
      </c>
      <c r="L129" s="6">
        <v>-16500</v>
      </c>
      <c r="M129" s="6">
        <v>-16500</v>
      </c>
      <c r="N129" s="6">
        <v>-16600</v>
      </c>
      <c r="O129" s="6">
        <v>-16700</v>
      </c>
    </row>
    <row r="130">
      <c r="A130" s="0" t="inlineStr">
        <is>
          <t xml:space="preserve">Travel and events</t>
        </is>
      </c>
      <c r="B130" s="0" t="inlineStr">
        <is>
          <t xml:space="preserve">United Kingdom</t>
        </is>
      </c>
      <c r="C130" s="0" t="inlineStr">
        <is>
          <t xml:space="preserve">Marketing</t>
        </is>
      </c>
      <c r="D130" s="6">
        <v>-5000</v>
      </c>
      <c r="E130" s="6">
        <v>-5100</v>
      </c>
      <c r="F130" s="6">
        <v>-5100</v>
      </c>
      <c r="G130" s="6">
        <v>-5100</v>
      </c>
      <c r="H130" s="6">
        <v>-5100</v>
      </c>
      <c r="I130" s="6">
        <v>-5100</v>
      </c>
      <c r="J130" s="6">
        <v>-5200</v>
      </c>
      <c r="K130" s="6">
        <v>-5200</v>
      </c>
      <c r="L130" s="6">
        <v>-5200</v>
      </c>
      <c r="M130" s="6">
        <v>-5200</v>
      </c>
      <c r="N130" s="6">
        <v>-5200</v>
      </c>
      <c r="O130" s="6">
        <v>-5300</v>
      </c>
    </row>
    <row r="131">
      <c r="A131" s="0" t="inlineStr">
        <is>
          <t xml:space="preserve">Travel and events</t>
        </is>
      </c>
      <c r="B131" s="0" t="inlineStr">
        <is>
          <t xml:space="preserve">United Kingdom</t>
        </is>
      </c>
      <c r="C131" s="0" t="inlineStr">
        <is>
          <t xml:space="preserve">Engineering</t>
        </is>
      </c>
    </row>
    <row r="132">
      <c r="A132" s="0" t="inlineStr">
        <is>
          <t xml:space="preserve">Travel and events</t>
        </is>
      </c>
      <c r="B132" s="0" t="inlineStr">
        <is>
          <t xml:space="preserve">United Kingdom</t>
        </is>
      </c>
      <c r="C132" s="0" t="inlineStr">
        <is>
          <t xml:space="preserve">Customer success</t>
        </is>
      </c>
      <c r="D132" s="6">
        <v>-1700</v>
      </c>
      <c r="E132" s="6">
        <v>-1700</v>
      </c>
      <c r="F132" s="6">
        <v>-1700</v>
      </c>
      <c r="G132" s="6">
        <v>-1700</v>
      </c>
      <c r="H132" s="6">
        <v>-1700</v>
      </c>
      <c r="I132" s="6">
        <v>-1700</v>
      </c>
      <c r="J132" s="6">
        <v>-1700</v>
      </c>
      <c r="K132" s="6">
        <v>-1700</v>
      </c>
      <c r="L132" s="6">
        <v>-1700</v>
      </c>
      <c r="M132" s="6">
        <v>-1700</v>
      </c>
      <c r="N132" s="6">
        <v>-1700</v>
      </c>
      <c r="O132" s="6">
        <v>-1800</v>
      </c>
    </row>
    <row r="133">
      <c r="A133" s="0" t="inlineStr">
        <is>
          <t xml:space="preserve">Travel and events</t>
        </is>
      </c>
      <c r="B133" s="0" t="inlineStr">
        <is>
          <t xml:space="preserve">United Kingdom</t>
        </is>
      </c>
      <c r="C133" s="0" t="inlineStr">
        <is>
          <t xml:space="preserve">G&amp;A</t>
        </is>
      </c>
      <c r="D133" s="6">
        <v>-2500</v>
      </c>
      <c r="E133" s="6">
        <v>-2500</v>
      </c>
      <c r="F133" s="6">
        <v>-2500</v>
      </c>
      <c r="G133" s="6">
        <v>-2600</v>
      </c>
      <c r="H133" s="6">
        <v>-2600</v>
      </c>
      <c r="I133" s="6">
        <v>-2600</v>
      </c>
      <c r="J133" s="6">
        <v>-2600</v>
      </c>
      <c r="K133" s="6">
        <v>-2600</v>
      </c>
      <c r="L133" s="6">
        <v>-2600</v>
      </c>
      <c r="M133" s="6">
        <v>-2600</v>
      </c>
      <c r="N133" s="6">
        <v>-2600</v>
      </c>
      <c r="O133" s="6">
        <v>-2600</v>
      </c>
    </row>
    <row r="134">
      <c r="A134" s="0" t="inlineStr">
        <is>
          <t xml:space="preserve">Rent and facilities</t>
        </is>
      </c>
      <c r="B134" s="0" t="inlineStr">
        <is>
          <t xml:space="preserve">United States</t>
        </is>
      </c>
      <c r="C134" s="0" t="inlineStr">
        <is>
          <t xml:space="preserve">Company (revenue and cost of revenue)</t>
        </is>
      </c>
    </row>
    <row r="135">
      <c r="A135" s="0" t="inlineStr">
        <is>
          <t xml:space="preserve">Rent and facilities</t>
        </is>
      </c>
      <c r="B135" s="0" t="inlineStr">
        <is>
          <t xml:space="preserve">United States</t>
        </is>
      </c>
      <c r="C135" s="0" t="inlineStr">
        <is>
          <t xml:space="preserve">Sales</t>
        </is>
      </c>
    </row>
    <row r="136">
      <c r="A136" s="0" t="inlineStr">
        <is>
          <t xml:space="preserve">Rent and facilities</t>
        </is>
      </c>
      <c r="B136" s="0" t="inlineStr">
        <is>
          <t xml:space="preserve">United States</t>
        </is>
      </c>
      <c r="C136" s="0" t="inlineStr">
        <is>
          <t xml:space="preserve">Marketing</t>
        </is>
      </c>
    </row>
    <row r="137">
      <c r="A137" s="0" t="inlineStr">
        <is>
          <t xml:space="preserve">Rent and facilities</t>
        </is>
      </c>
      <c r="B137" s="0" t="inlineStr">
        <is>
          <t xml:space="preserve">United States</t>
        </is>
      </c>
      <c r="C137" s="0" t="inlineStr">
        <is>
          <t xml:space="preserve">Engineering</t>
        </is>
      </c>
    </row>
    <row r="138">
      <c r="A138" s="0" t="inlineStr">
        <is>
          <t xml:space="preserve">Rent and facilities</t>
        </is>
      </c>
      <c r="B138" s="0" t="inlineStr">
        <is>
          <t xml:space="preserve">United States</t>
        </is>
      </c>
      <c r="C138" s="0" t="inlineStr">
        <is>
          <t xml:space="preserve">Customer success</t>
        </is>
      </c>
    </row>
    <row r="139">
      <c r="A139" s="0" t="inlineStr">
        <is>
          <t xml:space="preserve">Rent and facilities</t>
        </is>
      </c>
      <c r="B139" s="0" t="inlineStr">
        <is>
          <t xml:space="preserve">United States</t>
        </is>
      </c>
      <c r="C139" s="0" t="inlineStr">
        <is>
          <t xml:space="preserve">G&amp;A</t>
        </is>
      </c>
      <c r="D139" s="6">
        <v>-88000</v>
      </c>
      <c r="E139" s="6">
        <v>-88400</v>
      </c>
      <c r="F139" s="6">
        <v>-88700</v>
      </c>
      <c r="G139" s="6">
        <v>-89100</v>
      </c>
      <c r="H139" s="6">
        <v>-89400</v>
      </c>
      <c r="I139" s="6">
        <v>-89800</v>
      </c>
      <c r="J139" s="6">
        <v>-90100</v>
      </c>
      <c r="K139" s="6">
        <v>-90500</v>
      </c>
      <c r="L139" s="6">
        <v>-90900</v>
      </c>
      <c r="M139" s="6">
        <v>-91200</v>
      </c>
      <c r="N139" s="6">
        <v>-91600</v>
      </c>
      <c r="O139" s="6">
        <v>-92000</v>
      </c>
    </row>
    <row r="140">
      <c r="A140" s="0" t="inlineStr">
        <is>
          <t xml:space="preserve">Rent and facilities</t>
        </is>
      </c>
      <c r="B140" s="0" t="inlineStr">
        <is>
          <t xml:space="preserve">United Kingdom</t>
        </is>
      </c>
      <c r="C140" s="0" t="inlineStr">
        <is>
          <t xml:space="preserve">Company (revenue and cost of revenue)</t>
        </is>
      </c>
    </row>
    <row r="141">
      <c r="A141" s="0" t="inlineStr">
        <is>
          <t xml:space="preserve">Rent and facilities</t>
        </is>
      </c>
      <c r="B141" s="0" t="inlineStr">
        <is>
          <t xml:space="preserve">United Kingdom</t>
        </is>
      </c>
      <c r="C141" s="0" t="inlineStr">
        <is>
          <t xml:space="preserve">Sales</t>
        </is>
      </c>
    </row>
    <row r="142">
      <c r="A142" s="0" t="inlineStr">
        <is>
          <t xml:space="preserve">Rent and facilities</t>
        </is>
      </c>
      <c r="B142" s="0" t="inlineStr">
        <is>
          <t xml:space="preserve">United Kingdom</t>
        </is>
      </c>
      <c r="C142" s="0" t="inlineStr">
        <is>
          <t xml:space="preserve">Marketing</t>
        </is>
      </c>
    </row>
    <row r="143">
      <c r="A143" s="0" t="inlineStr">
        <is>
          <t xml:space="preserve">Rent and facilities</t>
        </is>
      </c>
      <c r="B143" s="0" t="inlineStr">
        <is>
          <t xml:space="preserve">United Kingdom</t>
        </is>
      </c>
      <c r="C143" s="0" t="inlineStr">
        <is>
          <t xml:space="preserve">Engineering</t>
        </is>
      </c>
    </row>
    <row r="144">
      <c r="A144" s="0" t="inlineStr">
        <is>
          <t xml:space="preserve">Rent and facilities</t>
        </is>
      </c>
      <c r="B144" s="0" t="inlineStr">
        <is>
          <t xml:space="preserve">United Kingdom</t>
        </is>
      </c>
      <c r="C144" s="0" t="inlineStr">
        <is>
          <t xml:space="preserve">Customer success</t>
        </is>
      </c>
    </row>
    <row r="145">
      <c r="A145" s="0" t="inlineStr">
        <is>
          <t xml:space="preserve">Rent and facilities</t>
        </is>
      </c>
      <c r="B145" s="0" t="inlineStr">
        <is>
          <t xml:space="preserve">United Kingdom</t>
        </is>
      </c>
      <c r="C145" s="0" t="inlineStr">
        <is>
          <t xml:space="preserve">G&amp;A</t>
        </is>
      </c>
      <c r="D145" s="6">
        <v>-37000</v>
      </c>
      <c r="E145" s="6">
        <v>-37100</v>
      </c>
      <c r="F145" s="6">
        <v>-37300</v>
      </c>
      <c r="G145" s="6">
        <v>-37400</v>
      </c>
      <c r="H145" s="6">
        <v>-37600</v>
      </c>
      <c r="I145" s="6">
        <v>-37700</v>
      </c>
      <c r="J145" s="6">
        <v>-37900</v>
      </c>
      <c r="K145" s="6">
        <v>-38000</v>
      </c>
      <c r="L145" s="6">
        <v>-38200</v>
      </c>
      <c r="M145" s="6">
        <v>-38300</v>
      </c>
      <c r="N145" s="6">
        <v>-38500</v>
      </c>
      <c r="O145" s="6">
        <v>-38600</v>
      </c>
    </row>
    <row r="146">
      <c r="A146" s="0" t="inlineStr">
        <is>
          <t xml:space="preserve">Professional fees</t>
        </is>
      </c>
      <c r="B146" s="0" t="inlineStr">
        <is>
          <t xml:space="preserve">United States</t>
        </is>
      </c>
      <c r="C146" s="0" t="inlineStr">
        <is>
          <t xml:space="preserve">Company (revenue and cost of revenue)</t>
        </is>
      </c>
    </row>
    <row r="147">
      <c r="A147" s="0" t="inlineStr">
        <is>
          <t xml:space="preserve">Professional fees</t>
        </is>
      </c>
      <c r="B147" s="0" t="inlineStr">
        <is>
          <t xml:space="preserve">United States</t>
        </is>
      </c>
      <c r="C147" s="0" t="inlineStr">
        <is>
          <t xml:space="preserve">Sales</t>
        </is>
      </c>
    </row>
    <row r="148">
      <c r="A148" s="0" t="inlineStr">
        <is>
          <t xml:space="preserve">Professional fees</t>
        </is>
      </c>
      <c r="B148" s="0" t="inlineStr">
        <is>
          <t xml:space="preserve">United States</t>
        </is>
      </c>
      <c r="C148" s="0" t="inlineStr">
        <is>
          <t xml:space="preserve">Marketing</t>
        </is>
      </c>
    </row>
    <row r="149">
      <c r="A149" s="0" t="inlineStr">
        <is>
          <t xml:space="preserve">Professional fees</t>
        </is>
      </c>
      <c r="B149" s="0" t="inlineStr">
        <is>
          <t xml:space="preserve">United States</t>
        </is>
      </c>
      <c r="C149" s="0" t="inlineStr">
        <is>
          <t xml:space="preserve">Engineering</t>
        </is>
      </c>
    </row>
    <row r="150">
      <c r="A150" s="0" t="inlineStr">
        <is>
          <t xml:space="preserve">Professional fees</t>
        </is>
      </c>
      <c r="B150" s="0" t="inlineStr">
        <is>
          <t xml:space="preserve">United States</t>
        </is>
      </c>
      <c r="C150" s="0" t="inlineStr">
        <is>
          <t xml:space="preserve">Customer success</t>
        </is>
      </c>
    </row>
    <row r="151">
      <c r="A151" s="0" t="inlineStr">
        <is>
          <t xml:space="preserve">Professional fees</t>
        </is>
      </c>
      <c r="B151" s="0" t="inlineStr">
        <is>
          <t xml:space="preserve">United States</t>
        </is>
      </c>
      <c r="C151" s="0" t="inlineStr">
        <is>
          <t xml:space="preserve">G&amp;A</t>
        </is>
      </c>
      <c r="D151" s="6">
        <v>-34000</v>
      </c>
      <c r="E151" s="6">
        <v>-34100</v>
      </c>
      <c r="F151" s="6">
        <v>-34300</v>
      </c>
      <c r="G151" s="6">
        <v>-34400</v>
      </c>
      <c r="H151" s="6">
        <v>-34500</v>
      </c>
      <c r="I151" s="6">
        <v>-34700</v>
      </c>
      <c r="J151" s="6">
        <v>-34800</v>
      </c>
      <c r="K151" s="6">
        <v>-35000</v>
      </c>
      <c r="L151" s="6">
        <v>-35100</v>
      </c>
      <c r="M151" s="6">
        <v>-35200</v>
      </c>
      <c r="N151" s="6">
        <v>-35400</v>
      </c>
      <c r="O151" s="6">
        <v>-35500</v>
      </c>
    </row>
    <row r="152">
      <c r="A152" s="0" t="inlineStr">
        <is>
          <t xml:space="preserve">Professional fees</t>
        </is>
      </c>
      <c r="B152" s="0" t="inlineStr">
        <is>
          <t xml:space="preserve">United Kingdom</t>
        </is>
      </c>
      <c r="C152" s="0" t="inlineStr">
        <is>
          <t xml:space="preserve">Company (revenue and cost of revenue)</t>
        </is>
      </c>
    </row>
    <row r="153">
      <c r="A153" s="0" t="inlineStr">
        <is>
          <t xml:space="preserve">Professional fees</t>
        </is>
      </c>
      <c r="B153" s="0" t="inlineStr">
        <is>
          <t xml:space="preserve">United Kingdom</t>
        </is>
      </c>
      <c r="C153" s="0" t="inlineStr">
        <is>
          <t xml:space="preserve">Sales</t>
        </is>
      </c>
    </row>
    <row r="154">
      <c r="A154" s="0" t="inlineStr">
        <is>
          <t xml:space="preserve">Professional fees</t>
        </is>
      </c>
      <c r="B154" s="0" t="inlineStr">
        <is>
          <t xml:space="preserve">United Kingdom</t>
        </is>
      </c>
      <c r="C154" s="0" t="inlineStr">
        <is>
          <t xml:space="preserve">Marketing</t>
        </is>
      </c>
    </row>
    <row r="155">
      <c r="A155" s="0" t="inlineStr">
        <is>
          <t xml:space="preserve">Professional fees</t>
        </is>
      </c>
      <c r="B155" s="0" t="inlineStr">
        <is>
          <t xml:space="preserve">United Kingdom</t>
        </is>
      </c>
      <c r="C155" s="0" t="inlineStr">
        <is>
          <t xml:space="preserve">Engineering</t>
        </is>
      </c>
    </row>
    <row r="156">
      <c r="A156" s="0" t="inlineStr">
        <is>
          <t xml:space="preserve">Professional fees</t>
        </is>
      </c>
      <c r="B156" s="0" t="inlineStr">
        <is>
          <t xml:space="preserve">United Kingdom</t>
        </is>
      </c>
      <c r="C156" s="0" t="inlineStr">
        <is>
          <t xml:space="preserve">Customer success</t>
        </is>
      </c>
    </row>
    <row r="157">
      <c r="A157" s="0" t="inlineStr">
        <is>
          <t xml:space="preserve">Professional fees</t>
        </is>
      </c>
      <c r="B157" s="0" t="inlineStr">
        <is>
          <t xml:space="preserve">United Kingdom</t>
        </is>
      </c>
      <c r="C157" s="0" t="inlineStr">
        <is>
          <t xml:space="preserve">G&amp;A</t>
        </is>
      </c>
      <c r="D157" s="6">
        <v>-14300</v>
      </c>
      <c r="E157" s="6">
        <v>-14300</v>
      </c>
      <c r="F157" s="6">
        <v>-14400</v>
      </c>
      <c r="G157" s="6">
        <v>-14500</v>
      </c>
      <c r="H157" s="6">
        <v>-14500</v>
      </c>
      <c r="I157" s="6">
        <v>-14600</v>
      </c>
      <c r="J157" s="6">
        <v>-14600</v>
      </c>
      <c r="K157" s="6">
        <v>-14700</v>
      </c>
      <c r="L157" s="6">
        <v>-14700</v>
      </c>
      <c r="M157" s="6">
        <v>-14800</v>
      </c>
      <c r="N157" s="6">
        <v>-14900</v>
      </c>
      <c r="O157" s="6">
        <v>-14900</v>
      </c>
    </row>
    <row r="158">
      <c r="A158" s="0" t="inlineStr">
        <is>
          <t xml:space="preserve">Net</t>
        </is>
      </c>
      <c r="B158" s="0" t="inlineStr">
        <is>
          <t xml:space="preserve">United States</t>
        </is>
      </c>
      <c r="C158" s="0" t="inlineStr">
        <is>
          <t xml:space="preserve">Company (revenue and cost of revenue)</t>
        </is>
      </c>
      <c r="D158" s="4">
        <f>SUM(D2,D14,D26,D38,D50,D62,D74,D86,D98,D110,D122,D134,D146)</f>
        <v>3381400</v>
      </c>
      <c r="E158" s="4">
        <f>SUM(E2,E14,E26,E38,E50,E62,E74,E86,E98,E110,E122,E134,E146)</f>
        <v>3498300</v>
      </c>
      <c r="F158" s="4">
        <f>SUM(F2,F14,F26,F38,F50,F62,F74,F86,F98,F110,F122,F134,F146)</f>
        <v>3765000</v>
      </c>
      <c r="G158" s="4">
        <f>SUM(G2,G14,G26,G38,G50,G62,G74,G86,G98,G110,G122,G134,G146)</f>
        <v>3743000</v>
      </c>
      <c r="H158" s="4">
        <f>SUM(H2,H14,H26,H38,H50,H62,H74,H86,H98,H110,H122,H134,H146)</f>
        <v>3833000</v>
      </c>
      <c r="I158" s="4">
        <f>SUM(I2,I14,I26,I38,I50,I62,I74,I86,I98,I110,I122,I134,I146)</f>
        <v>4081900</v>
      </c>
      <c r="J158" s="4">
        <f>SUM(J2,J14,J26,J38,J50,J62,J74,J86,J98,J110,J122,J134,J146)</f>
        <v>3938700</v>
      </c>
      <c r="K158" s="4">
        <f>SUM(K2,K14,K26,K38,K50,K62,K74,K86,K98,K110,K122,K134,K146)</f>
        <v>3992100</v>
      </c>
      <c r="L158" s="4">
        <f>SUM(L2,L14,L26,L38,L50,L62,L74,L86,L98,L110,L122,L134,L146)</f>
        <v>4298600</v>
      </c>
      <c r="M158" s="4">
        <f>SUM(M2,M14,M26,M38,M50,M62,M74,M86,M98,M110,M122,M134,M146)</f>
        <v>4358600</v>
      </c>
      <c r="N158" s="4">
        <f>SUM(N2,N14,N26,N38,N50,N62,N74,N86,N98,N110,N122,N134,N146)</f>
        <v>4419000</v>
      </c>
      <c r="O158" s="4">
        <f>SUM(O2,O14,O26,O38,O50,O62,O74,O86,O98,O110,O122,O134,O146)</f>
        <v>4796600</v>
      </c>
    </row>
    <row r="159">
      <c r="A159" s="0" t="inlineStr">
        <is>
          <t xml:space="preserve">Net</t>
        </is>
      </c>
      <c r="B159" s="0" t="inlineStr">
        <is>
          <t xml:space="preserve">United States</t>
        </is>
      </c>
      <c r="C159" s="0" t="inlineStr">
        <is>
          <t xml:space="preserve">Sales</t>
        </is>
      </c>
      <c r="D159" s="4">
        <f>SUM(D3,D15,D27,D39,D51,D63,D75,D87,D99,D111,D123,D135,D147)</f>
        <v>-594100</v>
      </c>
      <c r="E159" s="4">
        <f>SUM(E3,E15,E27,E39,E51,E63,E75,E87,E99,E111,E123,E135,E147)</f>
        <v>-617200</v>
      </c>
      <c r="F159" s="4">
        <f>SUM(F3,F15,F27,F39,F51,F63,F75,F87,F99,F111,F123,F135,F147)</f>
        <v>-648400</v>
      </c>
      <c r="G159" s="4">
        <f>SUM(G3,G15,G27,G39,G51,G63,G75,G87,G99,G111,G123,G135,G147)</f>
        <v>-664100</v>
      </c>
      <c r="H159" s="4">
        <f>SUM(H3,H15,H27,H39,H51,H63,H75,H87,H99,H111,H123,H135,H147)</f>
        <v>-669000</v>
      </c>
      <c r="I159" s="4">
        <f>SUM(I3,I15,I27,I39,I51,I63,I75,I87,I99,I111,I123,I135,I147)</f>
        <v>-699300</v>
      </c>
      <c r="J159" s="4">
        <f>SUM(J3,J15,J27,J39,J51,J63,J75,J87,J99,J111,J123,J135,J147)</f>
        <v>-691700</v>
      </c>
      <c r="K159" s="4">
        <f>SUM(K3,K15,K27,K39,K51,K63,K75,K87,K99,K111,K123,K135,K147)</f>
        <v>-711500</v>
      </c>
      <c r="L159" s="4">
        <f>SUM(L3,L15,L27,L39,L51,L63,L75,L87,L99,L111,L123,L135,L147)</f>
        <v>-761300</v>
      </c>
      <c r="M159" s="4">
        <f>SUM(M3,M15,M27,M39,M51,M63,M75,M87,M99,M111,M123,M135,M147)</f>
        <v>-781300</v>
      </c>
      <c r="N159" s="4">
        <f>SUM(N3,N15,N27,N39,N51,N63,N75,N87,N99,N111,N123,N135,N147)</f>
        <v>-784700</v>
      </c>
      <c r="O159" s="4">
        <f>SUM(O3,O15,O27,O39,O51,O63,O75,O87,O99,O111,O123,O135,O147)</f>
        <v>-821800</v>
      </c>
    </row>
    <row r="160">
      <c r="A160" s="0" t="inlineStr">
        <is>
          <t xml:space="preserve">Net</t>
        </is>
      </c>
      <c r="B160" s="0" t="inlineStr">
        <is>
          <t xml:space="preserve">United States</t>
        </is>
      </c>
      <c r="C160" s="0" t="inlineStr">
        <is>
          <t xml:space="preserve">Marketing</t>
        </is>
      </c>
      <c r="D160" s="4">
        <f>SUM(D4,D16,D28,D40,D52,D64,D76,D88,D100,D112,D124,D136,D148)</f>
        <v>-475000</v>
      </c>
      <c r="E160" s="4">
        <f>SUM(E4,E16,E28,E40,E52,E64,E76,E88,E100,E112,E124,E136,E148)</f>
        <v>-486300</v>
      </c>
      <c r="F160" s="4">
        <f>SUM(F4,F16,F28,F40,F52,F64,F76,F88,F100,F112,F124,F136,F148)</f>
        <v>-526000</v>
      </c>
      <c r="G160" s="4">
        <f>SUM(G4,G16,G28,G40,G52,G64,G76,G88,G100,G112,G124,G136,G148)</f>
        <v>-524000</v>
      </c>
      <c r="H160" s="4">
        <f>SUM(H4,H16,H28,H40,H52,H64,H76,H88,H100,H112,H124,H136,H148)</f>
        <v>-532600</v>
      </c>
      <c r="I160" s="4">
        <f>SUM(I4,I16,I28,I40,I52,I64,I76,I88,I100,I112,I124,I136,I148)</f>
        <v>-556500</v>
      </c>
      <c r="J160" s="4">
        <f>SUM(J4,J16,J28,J40,J52,J64,J76,J88,J100,J112,J124,J136,J148)</f>
        <v>-556900</v>
      </c>
      <c r="K160" s="4">
        <f>SUM(K4,K16,K28,K40,K52,K64,K76,K88,K100,K112,K124,K136,K148)</f>
        <v>-562100</v>
      </c>
      <c r="L160" s="4">
        <f>SUM(L4,L16,L28,L40,L52,L64,L76,L88,L100,L112,L124,L136,L148)</f>
        <v>-591500</v>
      </c>
      <c r="M160" s="4">
        <f>SUM(M4,M16,M28,M40,M52,M64,M76,M88,M100,M112,M124,M136,M148)</f>
        <v>-611400</v>
      </c>
      <c r="N160" s="4">
        <f>SUM(N4,N16,N28,N40,N52,N64,N76,N88,N100,N112,N124,N136,N148)</f>
        <v>-617400</v>
      </c>
      <c r="O160" s="4">
        <f>SUM(O4,O16,O28,O40,O52,O64,O76,O88,O100,O112,O124,O136,O148)</f>
        <v>-653300</v>
      </c>
    </row>
    <row r="161">
      <c r="A161" s="0" t="inlineStr">
        <is>
          <t xml:space="preserve">Net</t>
        </is>
      </c>
      <c r="B161" s="0" t="inlineStr">
        <is>
          <t xml:space="preserve">United States</t>
        </is>
      </c>
      <c r="C161" s="0" t="inlineStr">
        <is>
          <t xml:space="preserve">Engineering</t>
        </is>
      </c>
      <c r="D161" s="4">
        <f>SUM(D5,D17,D29,D41,D53,D65,D77,D89,D101,D113,D125,D137,D149)</f>
        <v>-1132100</v>
      </c>
      <c r="E161" s="4">
        <f>SUM(E5,E17,E29,E41,E53,E65,E77,E89,E101,E113,E125,E137,E149)</f>
        <v>-1161900</v>
      </c>
      <c r="F161" s="4">
        <f>SUM(F5,F17,F29,F41,F53,F65,F77,F89,F101,F113,F125,F137,F149)</f>
        <v>-1243700</v>
      </c>
      <c r="G161" s="4">
        <f>SUM(G5,G17,G29,G41,G53,G65,G77,G89,G101,G113,G125,G137,G149)</f>
        <v>-1261200</v>
      </c>
      <c r="H161" s="4">
        <f>SUM(H5,H17,H29,H41,H53,H65,H77,H89,H101,H113,H125,H137,H149)</f>
        <v>-1288600</v>
      </c>
      <c r="I161" s="4">
        <f>SUM(I5,I17,I29,I41,I53,I65,I77,I89,I101,I113,I125,I137,I149)</f>
        <v>-1349600</v>
      </c>
      <c r="J161" s="4">
        <f>SUM(J5,J17,J29,J41,J53,J65,J77,J89,J101,J113,J125,J137,J149)</f>
        <v>-1356300</v>
      </c>
      <c r="K161" s="4">
        <f>SUM(K5,K17,K29,K41,K53,K65,K77,K89,K101,K113,K125,K137,K149)</f>
        <v>-1380500</v>
      </c>
      <c r="L161" s="4">
        <f>SUM(L5,L17,L29,L41,L53,L65,L77,L89,L101,L113,L125,L137,L149)</f>
        <v>-1465700</v>
      </c>
      <c r="M161" s="4">
        <f>SUM(M5,M17,M29,M41,M53,M65,M77,M89,M101,M113,M125,M137,M149)</f>
        <v>-1490700</v>
      </c>
      <c r="N161" s="4">
        <f>SUM(N5,N17,N29,N41,N53,N65,N77,N89,N101,N113,N125,N137,N149)</f>
        <v>-1515600</v>
      </c>
      <c r="O161" s="4">
        <f>SUM(O5,O17,O29,O41,O53,O65,O77,O89,O101,O113,O125,O137,O149)</f>
        <v>-1568700</v>
      </c>
    </row>
    <row r="162">
      <c r="A162" s="0" t="inlineStr">
        <is>
          <t xml:space="preserve">Net</t>
        </is>
      </c>
      <c r="B162" s="0" t="inlineStr">
        <is>
          <t xml:space="preserve">United States</t>
        </is>
      </c>
      <c r="C162" s="0" t="inlineStr">
        <is>
          <t xml:space="preserve">Customer success</t>
        </is>
      </c>
      <c r="D162" s="4">
        <f>SUM(D6,D18,D30,D42,D54,D66,D78,D90,D102,D114,D126,D138,D150)</f>
        <v>-144100</v>
      </c>
      <c r="E162" s="4">
        <f>SUM(E6,E18,E30,E42,E54,E66,E78,E90,E102,E114,E126,E138,E150)</f>
        <v>-155200</v>
      </c>
      <c r="F162" s="4">
        <f>SUM(F6,F18,F30,F42,F54,F66,F78,F90,F102,F114,F126,F138,F150)</f>
        <v>-155300</v>
      </c>
      <c r="G162" s="4">
        <f>SUM(G6,G18,G30,G42,G54,G66,G78,G90,G102,G114,G126,G138,G150)</f>
        <v>-155300</v>
      </c>
      <c r="H162" s="4">
        <f>SUM(H6,H18,H30,H42,H54,H66,H78,H90,H102,H114,H126,H138,H150)</f>
        <v>-166400</v>
      </c>
      <c r="I162" s="4">
        <f>SUM(I6,I18,I30,I42,I54,I66,I78,I90,I102,I114,I126,I138,I150)</f>
        <v>-166400</v>
      </c>
      <c r="J162" s="4">
        <f>SUM(J6,J18,J30,J42,J54,J66,J78,J90,J102,J114,J126,J138,J150)</f>
        <v>-166500</v>
      </c>
      <c r="K162" s="4">
        <f>SUM(K6,K18,K30,K42,K54,K66,K78,K90,K102,K114,K126,K138,K150)</f>
        <v>-177700</v>
      </c>
      <c r="L162" s="4">
        <f>SUM(L6,L18,L30,L42,L54,L66,L78,L90,L102,L114,L126,L138,L150)</f>
        <v>-177700</v>
      </c>
      <c r="M162" s="4">
        <f>SUM(M6,M18,M30,M42,M54,M66,M78,M90,M102,M114,M126,M138,M150)</f>
        <v>-188900</v>
      </c>
      <c r="N162" s="4">
        <f>SUM(N6,N18,N30,N42,N54,N66,N78,N90,N102,N114,N126,N138,N150)</f>
        <v>-189000</v>
      </c>
      <c r="O162" s="4">
        <f>SUM(O6,O18,O30,O42,O54,O66,O78,O90,O102,O114,O126,O138,O150)</f>
        <v>-189000</v>
      </c>
    </row>
    <row r="163">
      <c r="A163" s="0" t="inlineStr">
        <is>
          <t xml:space="preserve">Net</t>
        </is>
      </c>
      <c r="B163" s="0" t="inlineStr">
        <is>
          <t xml:space="preserve">United States</t>
        </is>
      </c>
      <c r="C163" s="0" t="inlineStr">
        <is>
          <t xml:space="preserve">G&amp;A</t>
        </is>
      </c>
      <c r="D163" s="4">
        <f>SUM(D7,D19,D31,D43,D55,D67,D79,D91,D103,D115,D127,D139,D151)</f>
        <v>-290200</v>
      </c>
      <c r="E163" s="4">
        <f>SUM(E7,E19,E31,E43,E55,E67,E79,E91,E103,E115,E127,E139,E151)</f>
        <v>-290700</v>
      </c>
      <c r="F163" s="4">
        <f>SUM(F7,F19,F31,F43,F55,F67,F79,F91,F103,F115,F127,F139,F151)</f>
        <v>-291300</v>
      </c>
      <c r="G163" s="4">
        <f>SUM(G7,G19,G31,G43,G55,G67,G79,G91,G103,G115,G127,G139,G151)</f>
        <v>-307100</v>
      </c>
      <c r="H163" s="4">
        <f>SUM(H7,H19,H31,H43,H55,H67,H79,H91,H103,H115,H127,H139,H151)</f>
        <v>-307600</v>
      </c>
      <c r="I163" s="4">
        <f>SUM(I7,I19,I31,I43,I55,I67,I79,I91,I103,I115,I127,I139,I151)</f>
        <v>-308200</v>
      </c>
      <c r="J163" s="4">
        <f>SUM(J7,J19,J31,J43,J55,J67,J79,J91,J103,J115,J127,J139,J151)</f>
        <v>-308700</v>
      </c>
      <c r="K163" s="4">
        <f>SUM(K7,K19,K31,K43,K55,K67,K79,K91,K103,K115,K127,K139,K151)</f>
        <v>-309400</v>
      </c>
      <c r="L163" s="4">
        <f>SUM(L7,L19,L31,L43,L55,L67,L79,L91,L103,L115,L127,L139,L151)</f>
        <v>-325100</v>
      </c>
      <c r="M163" s="4">
        <f>SUM(M7,M19,M31,M43,M55,M67,M79,M91,M103,M115,M127,M139,M151)</f>
        <v>-325500</v>
      </c>
      <c r="N163" s="4">
        <f>SUM(N7,N19,N31,N43,N55,N67,N79,N91,N103,N115,N127,N139,N151)</f>
        <v>-326100</v>
      </c>
      <c r="O163" s="4">
        <f>SUM(O7,O19,O31,O43,O55,O67,O79,O91,O103,O115,O127,O139,O151)</f>
        <v>-326800</v>
      </c>
    </row>
    <row r="164">
      <c r="A164" s="0" t="inlineStr">
        <is>
          <t xml:space="preserve">Net</t>
        </is>
      </c>
      <c r="B164" s="0" t="inlineStr">
        <is>
          <t xml:space="preserve">United Kingdom</t>
        </is>
      </c>
      <c r="C164" s="0" t="inlineStr">
        <is>
          <t xml:space="preserve">Company (revenue and cost of revenue)</t>
        </is>
      </c>
      <c r="D164" s="4">
        <f>SUM(D8,D20,D32,D44,D56,D68,D80,D92,D104,D116,D128,D140,D152)</f>
        <v>1420200</v>
      </c>
      <c r="E164" s="4">
        <f>SUM(E8,E20,E32,E44,E56,E68,E80,E92,E104,E116,E128,E140,E152)</f>
        <v>1469200</v>
      </c>
      <c r="F164" s="4">
        <f>SUM(F8,F20,F32,F44,F56,F68,F80,F92,F104,F116,F128,F140,F152)</f>
        <v>1581300</v>
      </c>
      <c r="G164" s="4">
        <f>SUM(G8,G20,G32,G44,G56,G68,G80,G92,G104,G116,G128,G140,G152)</f>
        <v>1572000</v>
      </c>
      <c r="H164" s="4">
        <f>SUM(H8,H20,H32,H44,H56,H68,H80,H92,H104,H116,H128,H140,H152)</f>
        <v>1609800</v>
      </c>
      <c r="I164" s="4">
        <f>SUM(I8,I20,I32,I44,I56,I68,I80,I92,I104,I116,I128,I140,I152)</f>
        <v>1714400</v>
      </c>
      <c r="J164" s="4">
        <f>SUM(J8,J20,J32,J44,J56,J68,J80,J92,J104,J116,J128,J140,J152)</f>
        <v>1654300</v>
      </c>
      <c r="K164" s="4">
        <f>SUM(K8,K20,K32,K44,K56,K68,K80,K92,K104,K116,K128,K140,K152)</f>
        <v>1676600</v>
      </c>
      <c r="L164" s="4">
        <f>SUM(L8,L20,L32,L44,L56,L68,L80,L92,L104,L116,L128,L140,L152)</f>
        <v>1805400</v>
      </c>
      <c r="M164" s="4">
        <f>SUM(M8,M20,M32,M44,M56,M68,M80,M92,M104,M116,M128,M140,M152)</f>
        <v>1830600</v>
      </c>
      <c r="N164" s="4">
        <f>SUM(N8,N20,N32,N44,N56,N68,N80,N92,N104,N116,N128,N140,N152)</f>
        <v>1856000</v>
      </c>
      <c r="O164" s="4">
        <f>SUM(O8,O20,O32,O44,O56,O68,O80,O92,O104,O116,O128,O140,O152)</f>
        <v>2014600</v>
      </c>
    </row>
    <row r="165">
      <c r="A165" s="0" t="inlineStr">
        <is>
          <t xml:space="preserve">Net</t>
        </is>
      </c>
      <c r="B165" s="0" t="inlineStr">
        <is>
          <t xml:space="preserve">United Kingdom</t>
        </is>
      </c>
      <c r="C165" s="0" t="inlineStr">
        <is>
          <t xml:space="preserve">Sales</t>
        </is>
      </c>
      <c r="D165" s="4">
        <f>SUM(D9,D21,D33,D45,D57,D69,D81,D93,D105,D117,D129,D141,D153)</f>
        <v>-223200</v>
      </c>
      <c r="E165" s="4">
        <f>SUM(E9,E21,E33,E45,E57,E69,E81,E93,E105,E117,E129,E141,E153)</f>
        <v>-225800</v>
      </c>
      <c r="F165" s="4">
        <f>SUM(F9,F21,F33,F45,F57,F69,F81,F93,F105,F117,F129,F141,F153)</f>
        <v>-246000</v>
      </c>
      <c r="G165" s="4">
        <f>SUM(G9,G21,G33,G45,G57,G69,G81,G93,G105,G117,G129,G141,G153)</f>
        <v>-245600</v>
      </c>
      <c r="H165" s="4">
        <f>SUM(H9,H21,H33,H45,H57,H69,H81,H93,H105,H117,H129,H141,H153)</f>
        <v>-247600</v>
      </c>
      <c r="I165" s="4">
        <f>SUM(I9,I21,I33,I45,I57,I69,I81,I93,I105,I117,I129,I141,I153)</f>
        <v>-253400</v>
      </c>
      <c r="J165" s="4">
        <f>SUM(J9,J21,J33,J45,J57,J69,J81,J93,J105,J117,J129,J141,J153)</f>
        <v>-250200</v>
      </c>
      <c r="K165" s="4">
        <f>SUM(K9,K21,K33,K45,K57,K69,K81,K93,K105,K117,K129,K141,K153)</f>
        <v>-251500</v>
      </c>
      <c r="L165" s="4">
        <f>SUM(L9,L21,L33,L45,L57,L69,L81,L93,L105,L117,L129,L141,L153)</f>
        <v>-286800</v>
      </c>
      <c r="M165" s="4">
        <f>SUM(M9,M21,M33,M45,M57,M69,M81,M93,M105,M117,M129,M141,M153)</f>
        <v>-288200</v>
      </c>
      <c r="N165" s="4">
        <f>SUM(N9,N21,N33,N45,N57,N69,N81,N93,N105,N117,N129,N141,N153)</f>
        <v>-289600</v>
      </c>
      <c r="O165" s="4">
        <f>SUM(O9,O21,O33,O45,O57,O69,O81,O93,O105,O117,O129,O141,O153)</f>
        <v>-298200</v>
      </c>
    </row>
    <row r="166">
      <c r="A166" s="0" t="inlineStr">
        <is>
          <t xml:space="preserve">Net</t>
        </is>
      </c>
      <c r="B166" s="0" t="inlineStr">
        <is>
          <t xml:space="preserve">United Kingdom</t>
        </is>
      </c>
      <c r="C166" s="0" t="inlineStr">
        <is>
          <t xml:space="preserve">Marketing</t>
        </is>
      </c>
      <c r="D166" s="4">
        <f>SUM(D10,D22,D34,D46,D58,D70,D82,D94,D106,D118,D130,D142,D154)</f>
        <v>-194200</v>
      </c>
      <c r="E166" s="4">
        <f>SUM(E10,E22,E34,E46,E58,E70,E82,E94,E106,E118,E130,E142,E154)</f>
        <v>-198900</v>
      </c>
      <c r="F166" s="4">
        <f>SUM(F10,F22,F34,F46,F58,F70,F82,F94,F106,F118,F130,F142,F154)</f>
        <v>-221600</v>
      </c>
      <c r="G166" s="4">
        <f>SUM(G10,G22,G34,G46,G58,G70,G82,G94,G106,G118,G130,G142,G154)</f>
        <v>-220800</v>
      </c>
      <c r="H166" s="4">
        <f>SUM(H10,H22,H34,H46,H58,H70,H82,H94,H106,H118,H130,H142,H154)</f>
        <v>-224400</v>
      </c>
      <c r="I166" s="4">
        <f>SUM(I10,I22,I34,I46,I58,I70,I82,I94,I106,I118,I130,I142,I154)</f>
        <v>-234400</v>
      </c>
      <c r="J166" s="4">
        <f>SUM(J10,J22,J34,J46,J58,J70,J82,J94,J106,J118,J130,J142,J154)</f>
        <v>-240700</v>
      </c>
      <c r="K166" s="4">
        <f>SUM(K10,K22,K34,K46,K58,K70,K82,K94,K106,K118,K130,K142,K154)</f>
        <v>-242900</v>
      </c>
      <c r="L166" s="4">
        <f>SUM(L10,L22,L34,L46,L58,L70,L82,L94,L106,L118,L130,L142,L154)</f>
        <v>-255200</v>
      </c>
      <c r="M166" s="4">
        <f>SUM(M10,M22,M34,M46,M58,M70,M82,M94,M106,M118,M130,M142,M154)</f>
        <v>-257600</v>
      </c>
      <c r="N166" s="4">
        <f>SUM(N10,N22,N34,N46,N58,N70,N82,N94,N106,N118,N130,N142,N154)</f>
        <v>-260100</v>
      </c>
      <c r="O166" s="4">
        <f>SUM(O10,O22,O34,O46,O58,O70,O82,O94,O106,O118,O130,O142,O154)</f>
        <v>-275300</v>
      </c>
    </row>
    <row r="167">
      <c r="A167" s="0" t="inlineStr">
        <is>
          <t xml:space="preserve">Net</t>
        </is>
      </c>
      <c r="B167" s="0" t="inlineStr">
        <is>
          <t xml:space="preserve">United Kingdom</t>
        </is>
      </c>
      <c r="C167" s="0" t="inlineStr">
        <is>
          <t xml:space="preserve">Engineering</t>
        </is>
      </c>
      <c r="D167" s="4">
        <f>SUM(D11,D23,D35,D47,D59,D71,D83,D95,D107,D119,D131,D143,D155)</f>
        <v>-438400</v>
      </c>
      <c r="E167" s="4">
        <f>SUM(E11,E23,E35,E47,E59,E71,E83,E95,E107,E119,E131,E143,E155)</f>
        <v>-443000</v>
      </c>
      <c r="F167" s="4">
        <f>SUM(F11,F23,F35,F47,F59,F71,F83,F95,F107,F119,F131,F143,F155)</f>
        <v>-502000</v>
      </c>
      <c r="G167" s="4">
        <f>SUM(G11,G23,G35,G47,G59,G71,G83,G95,G107,G119,G131,G143,G155)</f>
        <v>-501400</v>
      </c>
      <c r="H167" s="4">
        <f>SUM(H11,H23,H35,H47,H59,H71,H83,H95,H107,H119,H131,H143,H155)</f>
        <v>-521200</v>
      </c>
      <c r="I167" s="4">
        <f>SUM(I11,I23,I35,I47,I59,I71,I83,I95,I107,I119,I131,I143,I155)</f>
        <v>-530700</v>
      </c>
      <c r="J167" s="4">
        <f>SUM(J11,J23,J35,J47,J59,J71,J83,J95,J107,J119,J131,J143,J155)</f>
        <v>-541700</v>
      </c>
      <c r="K167" s="4">
        <f>SUM(K11,K23,K35,K47,K59,K71,K83,K95,K107,K119,K131,K143,K155)</f>
        <v>-543900</v>
      </c>
      <c r="L167" s="4">
        <f>SUM(L11,L23,L35,L47,L59,L71,L83,L95,L107,L119,L131,L143,L155)</f>
        <v>-604400</v>
      </c>
      <c r="M167" s="4">
        <f>SUM(M11,M23,M35,M47,M59,M71,M83,M95,M107,M119,M131,M143,M155)</f>
        <v>-606700</v>
      </c>
      <c r="N167" s="4">
        <f>SUM(N11,N23,N35,N47,N59,N71,N83,N95,N107,N119,N131,N143,N155)</f>
        <v>-625400</v>
      </c>
      <c r="O167" s="4">
        <f>SUM(O11,O23,O35,O47,O59,O71,O83,O95,O107,O119,O131,O143,O155)</f>
        <v>-639700</v>
      </c>
    </row>
    <row r="168">
      <c r="A168" s="0" t="inlineStr">
        <is>
          <t xml:space="preserve">Net</t>
        </is>
      </c>
      <c r="B168" s="0" t="inlineStr">
        <is>
          <t xml:space="preserve">United Kingdom</t>
        </is>
      </c>
      <c r="C168" s="0" t="inlineStr">
        <is>
          <t xml:space="preserve">Customer success</t>
        </is>
      </c>
      <c r="D168" s="4">
        <f>SUM(D12,D24,D36,D48,D60,D72,D84,D96,D108,D120,D132,D144,D156)</f>
        <v>-51800</v>
      </c>
      <c r="E168" s="4">
        <f>SUM(E12,E24,E36,E48,E60,E72,E84,E96,E108,E120,E132,E144,E156)</f>
        <v>-51900</v>
      </c>
      <c r="F168" s="4">
        <f>SUM(F12,F24,F36,F48,F60,F72,F84,F96,F108,F120,F132,F144,F156)</f>
        <v>-51900</v>
      </c>
      <c r="G168" s="4">
        <f>SUM(G12,G24,G36,G48,G60,G72,G84,G96,G108,G120,G132,G144,G156)</f>
        <v>-51900</v>
      </c>
      <c r="H168" s="4">
        <f>SUM(H12,H24,H36,H48,H60,H72,H84,H96,H108,H120,H132,H144,H156)</f>
        <v>-61300</v>
      </c>
      <c r="I168" s="4">
        <f>SUM(I12,I24,I36,I48,I60,I72,I84,I96,I108,I120,I132,I144,I156)</f>
        <v>-61300</v>
      </c>
      <c r="J168" s="4">
        <f>SUM(J12,J24,J36,J48,J60,J72,J84,J96,J108,J120,J132,J144,J156)</f>
        <v>-61300</v>
      </c>
      <c r="K168" s="4">
        <f>SUM(K12,K24,K36,K48,K60,K72,K84,K96,K108,K120,K132,K144,K156)</f>
        <v>-61300</v>
      </c>
      <c r="L168" s="4">
        <f>SUM(L12,L24,L36,L48,L60,L72,L84,L96,L108,L120,L132,L144,L156)</f>
        <v>-61300</v>
      </c>
      <c r="M168" s="4">
        <f>SUM(M12,M24,M36,M48,M60,M72,M84,M96,M108,M120,M132,M144,M156)</f>
        <v>-61300</v>
      </c>
      <c r="N168" s="4">
        <f>SUM(N12,N24,N36,N48,N60,N72,N84,N96,N108,N120,N132,N144,N156)</f>
        <v>-61400</v>
      </c>
      <c r="O168" s="4">
        <f>SUM(O12,O24,O36,O48,O60,O72,O84,O96,O108,O120,O132,O144,O156)</f>
        <v>-61500</v>
      </c>
    </row>
    <row r="169">
      <c r="A169" s="0" t="inlineStr">
        <is>
          <t xml:space="preserve">Net</t>
        </is>
      </c>
      <c r="B169" s="0" t="inlineStr">
        <is>
          <t xml:space="preserve">United Kingdom</t>
        </is>
      </c>
      <c r="C169" s="0" t="inlineStr">
        <is>
          <t xml:space="preserve">G&amp;A</t>
        </is>
      </c>
      <c r="D169" s="4">
        <f>SUM(D13,D25,D37,D49,D61,D73,D85,D97,D109,D121,D133,D145,D157)</f>
        <v>-109800</v>
      </c>
      <c r="E169" s="4">
        <f>SUM(E13,E25,E37,E49,E61,E73,E85,E97,E109,E121,E133,E145,E157)</f>
        <v>-109900</v>
      </c>
      <c r="F169" s="4">
        <f>SUM(F13,F25,F37,F49,F61,F73,F85,F97,F109,F121,F133,F145,F157)</f>
        <v>-110300</v>
      </c>
      <c r="G169" s="4">
        <f>SUM(G13,G25,G37,G49,G61,G73,G85,G97,G109,G121,G133,G145,G157)</f>
        <v>-110600</v>
      </c>
      <c r="H169" s="4">
        <f>SUM(H13,H25,H37,H49,H61,H73,H85,H97,H109,H121,H133,H145,H157)</f>
        <v>-110800</v>
      </c>
      <c r="I169" s="4">
        <f>SUM(I13,I25,I37,I49,I61,I73,I85,I97,I109,I121,I133,I145,I157)</f>
        <v>-111000</v>
      </c>
      <c r="J169" s="4">
        <f>SUM(J13,J25,J37,J49,J61,J73,J85,J97,J109,J121,J133,J145,J157)</f>
        <v>-111200</v>
      </c>
      <c r="K169" s="4">
        <f>SUM(K13,K25,K37,K49,K61,K73,K85,K97,K109,K121,K133,K145,K157)</f>
        <v>-111500</v>
      </c>
      <c r="L169" s="4">
        <f>SUM(L13,L25,L37,L49,L61,L73,L85,L97,L109,L121,L133,L145,L157)</f>
        <v>-124600</v>
      </c>
      <c r="M169" s="4">
        <f>SUM(M13,M25,M37,M49,M61,M73,M85,M97,M109,M121,M133,M145,M157)</f>
        <v>-124800</v>
      </c>
      <c r="N169" s="4">
        <f>SUM(N13,N25,N37,N49,N61,N73,N85,N97,N109,N121,N133,N145,N157)</f>
        <v>-125100</v>
      </c>
      <c r="O169" s="4">
        <f>SUM(O13,O25,O37,O49,O61,O73,O85,O97,O109,O121,O133,O145,O157)</f>
        <v>-125200</v>
      </c>
    </row>
  </sheetData>
</worksheet>
</file>

<file path=xl/worksheets/sheet8.xml><?xml version="1.0" encoding="utf-8"?>
<worksheet xmlns="http://schemas.openxmlformats.org/spreadsheetml/2006/main" xmlns:r="http://schemas.openxmlformats.org/officeDocument/2006/relationships">
  <sheetViews>
    <sheetView workbookViewId="0">
      <pane xSplit="2" ySplit="1" topLeftCell="C2" activePane="bottomRight" state="frozen"/>
    </sheetView>
  </sheetViews>
  <cols>
    <col min="1" max="1" width="18" customWidth="1"/>
    <col min="2" max="2" width="3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s>
  <sheetData>
    <row r="1">
      <c r="A1" s="1" t="inlineStr">
        <is>
          <t xml:space="preserve">line</t>
        </is>
      </c>
      <c r="B1" s="1" t="inlineStr">
        <is>
          <t xml:space="preserve">subsidiary</t>
        </is>
      </c>
      <c r="C1" s="1" t="inlineStr">
        <is>
          <t xml:space="preserve">Jan-26</t>
        </is>
      </c>
      <c r="D1" s="1" t="inlineStr">
        <is>
          <t xml:space="preserve">Feb-26</t>
        </is>
      </c>
      <c r="E1" s="1" t="inlineStr">
        <is>
          <t xml:space="preserve">Mar-26</t>
        </is>
      </c>
      <c r="F1" s="1" t="inlineStr">
        <is>
          <t xml:space="preserve">Apr-26</t>
        </is>
      </c>
      <c r="G1" s="1" t="inlineStr">
        <is>
          <t xml:space="preserve">May-26</t>
        </is>
      </c>
      <c r="H1" s="1" t="inlineStr">
        <is>
          <t xml:space="preserve">Jun-26</t>
        </is>
      </c>
      <c r="I1" s="1" t="inlineStr">
        <is>
          <t xml:space="preserve">Jul-26</t>
        </is>
      </c>
      <c r="J1" s="1" t="inlineStr">
        <is>
          <t xml:space="preserve">Aug-26</t>
        </is>
      </c>
      <c r="K1" s="1" t="inlineStr">
        <is>
          <t xml:space="preserve">Sep-26</t>
        </is>
      </c>
      <c r="L1" s="1" t="inlineStr">
        <is>
          <t xml:space="preserve">Oct-26</t>
        </is>
      </c>
      <c r="M1" s="1" t="inlineStr">
        <is>
          <t xml:space="preserve">Nov-26</t>
        </is>
      </c>
      <c r="N1" s="1" t="inlineStr">
        <is>
          <t xml:space="preserve">Dec-26</t>
        </is>
      </c>
    </row>
    <row r="2">
      <c r="A2" s="0" t="inlineStr">
        <is>
          <t xml:space="preserve">Revenue</t>
        </is>
      </c>
      <c r="B2" s="0" t="inlineStr">
        <is>
          <t xml:space="preserve">United States</t>
        </is>
      </c>
      <c r="C2" s="8">
        <f>'Outlook actuals from the ledger'!D2</f>
        <v>4131437</v>
      </c>
      <c r="D2" s="8">
        <f>'Outlook actuals from the ledger'!E2</f>
        <v>4250476</v>
      </c>
      <c r="E2" s="8">
        <f>'Outlook actuals from the ledger'!F2</f>
        <v>4370513</v>
      </c>
      <c r="F2" s="8">
        <f>'Outlook actuals from the ledger'!G2</f>
        <v>4448928</v>
      </c>
      <c r="G2" s="8">
        <f>'Outlook actuals from the ledger'!H2</f>
        <v>4429226</v>
      </c>
      <c r="H2" s="8">
        <f>'Outlook actuals from the ledger'!I2</f>
        <v>4725798</v>
      </c>
      <c r="I2" s="8">
        <f>'Outlook actuals from the ledger'!J2</f>
        <v>4406956</v>
      </c>
      <c r="J2" s="8">
        <f>'Outlook actuals from the ledger'!K2</f>
        <v>4544037</v>
      </c>
      <c r="K2" s="8">
        <f>'Outlook actuals from the ledger'!L2</f>
        <v>4630373.703</v>
      </c>
      <c r="L2" s="8">
        <f>'Outlook actuals from the ledger'!M2</f>
        <v>4718350.8033569995</v>
      </c>
      <c r="M2" s="8">
        <f>'Outlook actuals from the ledger'!N2</f>
        <v>4807999.468620782</v>
      </c>
      <c r="N2" s="8">
        <f>'Outlook actuals from the ledger'!O2</f>
        <v>4899351.458524576</v>
      </c>
    </row>
    <row r="3">
      <c r="A3" s="0" t="inlineStr">
        <is>
          <t xml:space="preserve">Revenue</t>
        </is>
      </c>
      <c r="B3" s="0" t="inlineStr">
        <is>
          <t xml:space="preserve">United Kingdom</t>
        </is>
      </c>
      <c r="C3" s="8">
        <f>'Outlook actuals from the ledger'!D8</f>
        <v>1673940</v>
      </c>
      <c r="D3" s="8">
        <f>'Outlook actuals from the ledger'!E8</f>
        <v>1721315</v>
      </c>
      <c r="E3" s="8">
        <f>'Outlook actuals from the ledger'!F8</f>
        <v>1792887</v>
      </c>
      <c r="F3" s="8">
        <f>'Outlook actuals from the ledger'!G8</f>
        <v>1859611</v>
      </c>
      <c r="G3" s="8">
        <f>'Outlook actuals from the ledger'!H8</f>
        <v>1874770</v>
      </c>
      <c r="H3" s="8">
        <f>'Outlook actuals from the ledger'!I8</f>
        <v>1971962</v>
      </c>
      <c r="I3" s="8">
        <f>'Outlook actuals from the ledger'!J8</f>
        <v>1948393</v>
      </c>
      <c r="J3" s="8">
        <f>'Outlook actuals from the ledger'!K8</f>
        <v>1943549</v>
      </c>
      <c r="K3" s="8">
        <f>'Outlook actuals from the ledger'!L8</f>
        <v>1980476.4309999999</v>
      </c>
      <c r="L3" s="8">
        <f>'Outlook actuals from the ledger'!M8</f>
        <v>2018105.4831889996</v>
      </c>
      <c r="M3" s="8">
        <f>'Outlook actuals from the ledger'!N8</f>
        <v>2056449.4873695904</v>
      </c>
      <c r="N3" s="8">
        <f>'Outlook actuals from the ledger'!O8</f>
        <v>2095522.0276296125</v>
      </c>
    </row>
    <row r="4">
      <c r="A4" s="0" t="inlineStr">
        <is>
          <t xml:space="preserve">Cost of revenue</t>
        </is>
      </c>
      <c r="B4" s="0" t="inlineStr">
        <is>
          <t xml:space="preserve">United States</t>
        </is>
      </c>
      <c r="C4" s="8">
        <f>SUM('Outlook actuals from the ledger'!D14,'Outlook actuals from the ledger'!D26)</f>
        <v>-700695</v>
      </c>
      <c r="D4" s="8">
        <f>SUM('Outlook actuals from the ledger'!E14,'Outlook actuals from the ledger'!E26)</f>
        <v>-664708</v>
      </c>
      <c r="E4" s="8">
        <f>SUM('Outlook actuals from the ledger'!F14,'Outlook actuals from the ledger'!F26)</f>
        <v>-708983</v>
      </c>
      <c r="F4" s="8">
        <f>SUM('Outlook actuals from the ledger'!G14,'Outlook actuals from the ledger'!G26)</f>
        <v>-770567</v>
      </c>
      <c r="G4" s="8">
        <f>SUM('Outlook actuals from the ledger'!H14,'Outlook actuals from the ledger'!H26)</f>
        <v>-780198</v>
      </c>
      <c r="H4" s="8">
        <f>SUM('Outlook actuals from the ledger'!I14,'Outlook actuals from the ledger'!I26)</f>
        <v>-797094</v>
      </c>
      <c r="I4" s="8">
        <f>SUM('Outlook actuals from the ledger'!J14,'Outlook actuals from the ledger'!J26)</f>
        <v>-750947</v>
      </c>
      <c r="J4" s="8">
        <f>SUM('Outlook actuals from the ledger'!K14,'Outlook actuals from the ledger'!K26)</f>
        <v>-787746</v>
      </c>
      <c r="K4" s="8">
        <f>SUM('Outlook actuals from the ledger'!L14,'Outlook actuals from the ledger'!L26)</f>
        <v>-782533.1558069999</v>
      </c>
      <c r="L4" s="8">
        <f>SUM('Outlook actuals from the ledger'!M14,'Outlook actuals from the ledger'!M26)</f>
        <v>-797401.2857673329</v>
      </c>
      <c r="M4" s="8">
        <f>SUM('Outlook actuals from the ledger'!N14,'Outlook actuals from the ledger'!N26)</f>
        <v>-812551.9101969121</v>
      </c>
      <c r="N4" s="8">
        <f>SUM('Outlook actuals from the ledger'!O14,'Outlook actuals from the ledger'!O26)</f>
        <v>-827990.3964906533</v>
      </c>
    </row>
    <row r="5">
      <c r="A5" s="0" t="inlineStr">
        <is>
          <t xml:space="preserve">Cost of revenue</t>
        </is>
      </c>
      <c r="B5" s="0" t="inlineStr">
        <is>
          <t xml:space="preserve">United Kingdom</t>
        </is>
      </c>
      <c r="C5" s="8">
        <f>SUM('Outlook actuals from the ledger'!D20,'Outlook actuals from the ledger'!D32)</f>
        <v>-285475</v>
      </c>
      <c r="D5" s="8">
        <f>SUM('Outlook actuals from the ledger'!E20,'Outlook actuals from the ledger'!E32)</f>
        <v>-287700</v>
      </c>
      <c r="E5" s="8">
        <f>SUM('Outlook actuals from the ledger'!F20,'Outlook actuals from the ledger'!F32)</f>
        <v>-325804</v>
      </c>
      <c r="F5" s="8">
        <f>SUM('Outlook actuals from the ledger'!G20,'Outlook actuals from the ledger'!G32)</f>
        <v>-317405</v>
      </c>
      <c r="G5" s="8">
        <f>SUM('Outlook actuals from the ledger'!H20,'Outlook actuals from the ledger'!H32)</f>
        <v>-316108</v>
      </c>
      <c r="H5" s="8">
        <f>SUM('Outlook actuals from the ledger'!I20,'Outlook actuals from the ledger'!I32)</f>
        <v>-338266</v>
      </c>
      <c r="I5" s="8">
        <f>SUM('Outlook actuals from the ledger'!J20,'Outlook actuals from the ledger'!J32)</f>
        <v>-320073</v>
      </c>
      <c r="J5" s="8">
        <f>SUM('Outlook actuals from the ledger'!K20,'Outlook actuals from the ledger'!K32)</f>
        <v>-345464</v>
      </c>
      <c r="K5" s="8">
        <f>SUM('Outlook actuals from the ledger'!L20,'Outlook actuals from the ledger'!L32)</f>
        <v>-334700.51683899993</v>
      </c>
      <c r="L5" s="8">
        <f>SUM('Outlook actuals from the ledger'!M20,'Outlook actuals from the ledger'!M32)</f>
        <v>-341059.82665894093</v>
      </c>
      <c r="M5" s="8">
        <f>SUM('Outlook actuals from the ledger'!N20,'Outlook actuals from the ledger'!N32)</f>
        <v>-347539.96336546075</v>
      </c>
      <c r="N5" s="8">
        <f>SUM('Outlook actuals from the ledger'!O20,'Outlook actuals from the ledger'!O32)</f>
        <v>-354143.22266940447</v>
      </c>
    </row>
    <row r="6">
      <c r="A6" s="0" t="inlineStr">
        <is>
          <t xml:space="preserve">Gross profit</t>
        </is>
      </c>
      <c r="B6" s="0" t="inlineStr">
        <is>
          <t xml:space="preserve">United States</t>
        </is>
      </c>
      <c r="C6" s="8">
        <f>(C2+C4)</f>
        <v>3430742</v>
      </c>
      <c r="D6" s="8">
        <f>(D2+D4)</f>
        <v>3585768</v>
      </c>
      <c r="E6" s="8">
        <f>(E2+E4)</f>
        <v>3661530</v>
      </c>
      <c r="F6" s="8">
        <f>(F2+F4)</f>
        <v>3678361</v>
      </c>
      <c r="G6" s="8">
        <f>(G2+G4)</f>
        <v>3649028</v>
      </c>
      <c r="H6" s="8">
        <f>(H2+H4)</f>
        <v>3928704</v>
      </c>
      <c r="I6" s="8">
        <f>(I2+I4)</f>
        <v>3656009</v>
      </c>
      <c r="J6" s="8">
        <f>(J2+J4)</f>
        <v>3756291</v>
      </c>
      <c r="K6" s="8">
        <f>(K2+K4)</f>
        <v>3847840.547193</v>
      </c>
      <c r="L6" s="8">
        <f>(L2+L4)</f>
        <v>3920949.517589667</v>
      </c>
      <c r="M6" s="8">
        <f>(M2+M4)</f>
        <v>3995447.55842387</v>
      </c>
      <c r="N6" s="8">
        <f>(N2+N4)</f>
        <v>4071361.0620339233</v>
      </c>
    </row>
    <row r="7">
      <c r="A7" s="0" t="inlineStr">
        <is>
          <t xml:space="preserve">Gross profit</t>
        </is>
      </c>
      <c r="B7" s="0" t="inlineStr">
        <is>
          <t xml:space="preserve">United Kingdom</t>
        </is>
      </c>
      <c r="C7" s="8">
        <f>(C3+C5)</f>
        <v>1388465</v>
      </c>
      <c r="D7" s="8">
        <f>(D3+D5)</f>
        <v>1433615</v>
      </c>
      <c r="E7" s="8">
        <f>(E3+E5)</f>
        <v>1467083</v>
      </c>
      <c r="F7" s="8">
        <f>(F3+F5)</f>
        <v>1542206</v>
      </c>
      <c r="G7" s="8">
        <f>(G3+G5)</f>
        <v>1558662</v>
      </c>
      <c r="H7" s="8">
        <f>(H3+H5)</f>
        <v>1633696</v>
      </c>
      <c r="I7" s="8">
        <f>(I3+I5)</f>
        <v>1628320</v>
      </c>
      <c r="J7" s="8">
        <f>(J3+J5)</f>
        <v>1598085</v>
      </c>
      <c r="K7" s="8">
        <f>(K3+K5)</f>
        <v>1645775.914161</v>
      </c>
      <c r="L7" s="8">
        <f>(L3+L5)</f>
        <v>1677045.6565300587</v>
      </c>
      <c r="M7" s="8">
        <f>(M3+M5)</f>
        <v>1708909.5240041297</v>
      </c>
      <c r="N7" s="8">
        <f>(N3+N5)</f>
        <v>1741378.804960208</v>
      </c>
    </row>
    <row r="8">
      <c r="A8" s="0" t="inlineStr">
        <is>
          <t xml:space="preserve">Gross margin</t>
        </is>
      </c>
      <c r="B8" s="0" t="inlineStr">
        <is>
          <t xml:space="preserve">United States</t>
        </is>
      </c>
      <c r="C8" s="12">
        <f>IFERROR((C6/C2),"")</f>
        <v>0.8303992049255501</v>
      </c>
      <c r="D8" s="12">
        <f>IFERROR((D6/D2),"")</f>
        <v>0.8436156326961969</v>
      </c>
      <c r="E8" s="12">
        <f>IFERROR((E6/E2),"")</f>
        <v>0.8377803704050303</v>
      </c>
      <c r="F8" s="12">
        <f>IFERROR((F6/F2),"")</f>
        <v>0.8267971520330291</v>
      </c>
      <c r="G8" s="12">
        <f>IFERROR((G6/G2),"")</f>
        <v>0.8238522938319246</v>
      </c>
      <c r="H8" s="12">
        <f>IFERROR((H6/H2),"")</f>
        <v>0.8313313434048599</v>
      </c>
      <c r="I8" s="12">
        <f>IFERROR((I6/I2),"")</f>
        <v>0.8295996147907989</v>
      </c>
      <c r="J8" s="12">
        <f>IFERROR((J6/J2),"")</f>
        <v>0.8266418165168989</v>
      </c>
      <c r="K8" s="12">
        <f>IFERROR((K6/K2),"")</f>
        <v>0.8310000000000001</v>
      </c>
      <c r="L8" s="12">
        <f>IFERROR((L6/L2),"")</f>
        <v>0.8310000000000001</v>
      </c>
      <c r="M8" s="12">
        <f>IFERROR((M6/M2),"")</f>
        <v>0.8310000000000001</v>
      </c>
      <c r="N8" s="12">
        <f>IFERROR((N6/N2),"")</f>
        <v>0.8310000000000001</v>
      </c>
    </row>
    <row r="9">
      <c r="A9" s="0" t="inlineStr">
        <is>
          <t xml:space="preserve">Gross margin</t>
        </is>
      </c>
      <c r="B9" s="0" t="inlineStr">
        <is>
          <t xml:space="preserve">United Kingdom</t>
        </is>
      </c>
      <c r="C9" s="12">
        <f>IFERROR((C7/C3),"")</f>
        <v>0.829459239877176</v>
      </c>
      <c r="D9" s="12">
        <f>IFERROR((D7/D3),"")</f>
        <v>0.8328603422383468</v>
      </c>
      <c r="E9" s="12">
        <f>IFERROR((E7/E3),"")</f>
        <v>0.8182796796451757</v>
      </c>
      <c r="F9" s="12">
        <f>IFERROR((F7/F3),"")</f>
        <v>0.829316453817492</v>
      </c>
      <c r="G9" s="12">
        <f>IFERROR((G7/G3),"")</f>
        <v>0.8313883836417267</v>
      </c>
      <c r="H9" s="12">
        <f>IFERROR((H7/H3),"")</f>
        <v>0.8284622117464738</v>
      </c>
      <c r="I9" s="12">
        <f>IFERROR((I7/I3),"")</f>
        <v>0.8357246202383195</v>
      </c>
      <c r="J9" s="12">
        <f>IFERROR((J7/J3),"")</f>
        <v>0.8222509440204492</v>
      </c>
      <c r="K9" s="12">
        <f>IFERROR((K7/K3),"")</f>
        <v>0.8310000000000001</v>
      </c>
      <c r="L9" s="12">
        <f>IFERROR((L7/L3),"")</f>
        <v>0.8310000000000001</v>
      </c>
      <c r="M9" s="12">
        <f>IFERROR((M7/M3),"")</f>
        <v>0.8310000000000001</v>
      </c>
      <c r="N9" s="12">
        <f>IFERROR((N7/N3),"")</f>
        <v>0.8310000000000001</v>
      </c>
    </row>
    <row r="10">
      <c r="A10" s="0" t="inlineStr">
        <is>
          <t xml:space="preserve">Sales</t>
        </is>
      </c>
      <c r="B10" s="0" t="inlineStr">
        <is>
          <t xml:space="preserve">United States</t>
        </is>
      </c>
      <c r="C10" s="8">
        <f>SUM('Outlook actuals from the ledger'!D3,'Outlook actuals from the ledger'!D15,'Outlook actuals from the ledger'!D27,'Outlook actuals from the ledger'!D39,'Outlook actuals from the ledger'!D51,'Outlook actuals from the ledger'!D63,'Outlook actuals from the ledger'!D75,'Outlook actuals from the ledger'!D87,'Outlook actuals from the ledger'!D99,'Outlook actuals from the ledger'!D111,'Outlook actuals from the ledger'!D123,'Outlook actuals from the ledger'!D135,'Outlook actuals from the ledger'!D147)</f>
        <v>-614892</v>
      </c>
      <c r="D10" s="8">
        <f>SUM('Outlook actuals from the ledger'!E3,'Outlook actuals from the ledger'!E15,'Outlook actuals from the ledger'!E27,'Outlook actuals from the ledger'!E39,'Outlook actuals from the ledger'!E51,'Outlook actuals from the ledger'!E63,'Outlook actuals from the ledger'!E75,'Outlook actuals from the ledger'!E87,'Outlook actuals from the ledger'!E99,'Outlook actuals from the ledger'!E111,'Outlook actuals from the ledger'!E123,'Outlook actuals from the ledger'!E135,'Outlook actuals from the ledger'!E147)</f>
        <v>-645531</v>
      </c>
      <c r="E10" s="8">
        <f>SUM('Outlook actuals from the ledger'!F3,'Outlook actuals from the ledger'!F15,'Outlook actuals from the ledger'!F27,'Outlook actuals from the ledger'!F39,'Outlook actuals from the ledger'!F51,'Outlook actuals from the ledger'!F63,'Outlook actuals from the ledger'!F75,'Outlook actuals from the ledger'!F87,'Outlook actuals from the ledger'!F99,'Outlook actuals from the ledger'!F111,'Outlook actuals from the ledger'!F123,'Outlook actuals from the ledger'!F135,'Outlook actuals from the ledger'!F147)</f>
        <v>-625817</v>
      </c>
      <c r="F10" s="8">
        <f>SUM('Outlook actuals from the ledger'!G3,'Outlook actuals from the ledger'!G15,'Outlook actuals from the ledger'!G27,'Outlook actuals from the ledger'!G39,'Outlook actuals from the ledger'!G51,'Outlook actuals from the ledger'!G63,'Outlook actuals from the ledger'!G75,'Outlook actuals from the ledger'!G87,'Outlook actuals from the ledger'!G99,'Outlook actuals from the ledger'!G111,'Outlook actuals from the ledger'!G123,'Outlook actuals from the ledger'!G135,'Outlook actuals from the ledger'!G147)</f>
        <v>-653259</v>
      </c>
      <c r="G10" s="8">
        <f>SUM('Outlook actuals from the ledger'!H3,'Outlook actuals from the ledger'!H15,'Outlook actuals from the ledger'!H27,'Outlook actuals from the ledger'!H39,'Outlook actuals from the ledger'!H51,'Outlook actuals from the ledger'!H63,'Outlook actuals from the ledger'!H75,'Outlook actuals from the ledger'!H87,'Outlook actuals from the ledger'!H99,'Outlook actuals from the ledger'!H111,'Outlook actuals from the ledger'!H123,'Outlook actuals from the ledger'!H135,'Outlook actuals from the ledger'!H147)</f>
        <v>-690232</v>
      </c>
      <c r="H10" s="8">
        <f>SUM('Outlook actuals from the ledger'!I3,'Outlook actuals from the ledger'!I15,'Outlook actuals from the ledger'!I27,'Outlook actuals from the ledger'!I39,'Outlook actuals from the ledger'!I51,'Outlook actuals from the ledger'!I63,'Outlook actuals from the ledger'!I75,'Outlook actuals from the ledger'!I87,'Outlook actuals from the ledger'!I99,'Outlook actuals from the ledger'!I111,'Outlook actuals from the ledger'!I123,'Outlook actuals from the ledger'!I135,'Outlook actuals from the ledger'!I147)</f>
        <v>-693079</v>
      </c>
      <c r="I10" s="8">
        <f>SUM('Outlook actuals from the ledger'!J3,'Outlook actuals from the ledger'!J15,'Outlook actuals from the ledger'!J27,'Outlook actuals from the ledger'!J39,'Outlook actuals from the ledger'!J51,'Outlook actuals from the ledger'!J63,'Outlook actuals from the ledger'!J75,'Outlook actuals from the ledger'!J87,'Outlook actuals from the ledger'!J99,'Outlook actuals from the ledger'!J111,'Outlook actuals from the ledger'!J123,'Outlook actuals from the ledger'!J135,'Outlook actuals from the ledger'!J147)</f>
        <v>-689099</v>
      </c>
      <c r="J10" s="8">
        <f>SUM('Outlook actuals from the ledger'!K3,'Outlook actuals from the ledger'!K15,'Outlook actuals from the ledger'!K27,'Outlook actuals from the ledger'!K39,'Outlook actuals from the ledger'!K51,'Outlook actuals from the ledger'!K63,'Outlook actuals from the ledger'!K75,'Outlook actuals from the ledger'!K87,'Outlook actuals from the ledger'!K99,'Outlook actuals from the ledger'!K111,'Outlook actuals from the ledger'!K123,'Outlook actuals from the ledger'!K135,'Outlook actuals from the ledger'!K147)</f>
        <v>-683471</v>
      </c>
      <c r="K10" s="8">
        <f>SUM('Outlook actuals from the ledger'!L3,'Outlook actuals from the ledger'!L15,'Outlook actuals from the ledger'!L27,'Outlook actuals from the ledger'!L39,'Outlook actuals from the ledger'!L51,'Outlook actuals from the ledger'!L63,'Outlook actuals from the ledger'!L75,'Outlook actuals from the ledger'!L87,'Outlook actuals from the ledger'!L99,'Outlook actuals from the ledger'!L111,'Outlook actuals from the ledger'!L123,'Outlook actuals from the ledger'!L135,'Outlook actuals from the ledger'!L147)</f>
        <v>-749702.3000409999</v>
      </c>
      <c r="L10" s="8">
        <f>SUM('Outlook actuals from the ledger'!M3,'Outlook actuals from the ledger'!M15,'Outlook actuals from the ledger'!M27,'Outlook actuals from the ledger'!M39,'Outlook actuals from the ledger'!M51,'Outlook actuals from the ledger'!M63,'Outlook actuals from the ledger'!M75,'Outlook actuals from the ledger'!M87,'Outlook actuals from the ledger'!M99,'Outlook actuals from the ledger'!M111,'Outlook actuals from the ledger'!M123,'Outlook actuals from the ledger'!M135,'Outlook actuals from the ledger'!M147)</f>
        <v>-770817.677173779</v>
      </c>
      <c r="M10" s="8">
        <f>SUM('Outlook actuals from the ledger'!N3,'Outlook actuals from the ledger'!N15,'Outlook actuals from the ledger'!N27,'Outlook actuals from the ledger'!N39,'Outlook actuals from the ledger'!N51,'Outlook actuals from the ledger'!N63,'Outlook actuals from the ledger'!N75,'Outlook actuals from the ledger'!N87,'Outlook actuals from the ledger'!N99,'Outlook actuals from the ledger'!N111,'Outlook actuals from the ledger'!N123,'Outlook actuals from the ledger'!N135,'Outlook actuals from the ledger'!N147)</f>
        <v>-775320.8455776728</v>
      </c>
      <c r="N10" s="8">
        <f>SUM('Outlook actuals from the ledger'!O3,'Outlook actuals from the ledger'!O15,'Outlook actuals from the ledger'!O27,'Outlook actuals from the ledger'!O39,'Outlook actuals from the ledger'!O51,'Outlook actuals from the ledger'!O63,'Outlook actuals from the ledger'!O75,'Outlook actuals from the ledger'!O87,'Outlook actuals from the ledger'!O99,'Outlook actuals from the ledger'!O111,'Outlook actuals from the ledger'!O123,'Outlook actuals from the ledger'!O135,'Outlook actuals from the ledger'!O147)</f>
        <v>-796598.308326466</v>
      </c>
    </row>
    <row r="11">
      <c r="A11" s="0" t="inlineStr">
        <is>
          <t xml:space="preserve">Sales</t>
        </is>
      </c>
      <c r="B11" s="0" t="inlineStr">
        <is>
          <t xml:space="preserve">United Kingdom</t>
        </is>
      </c>
      <c r="C11" s="8">
        <f>SUM('Outlook actuals from the ledger'!D9,'Outlook actuals from the ledger'!D21,'Outlook actuals from the ledger'!D33,'Outlook actuals from the ledger'!D45,'Outlook actuals from the ledger'!D57,'Outlook actuals from the ledger'!D69,'Outlook actuals from the ledger'!D81,'Outlook actuals from the ledger'!D93,'Outlook actuals from the ledger'!D105,'Outlook actuals from the ledger'!D117,'Outlook actuals from the ledger'!D129,'Outlook actuals from the ledger'!D141,'Outlook actuals from the ledger'!D153)</f>
        <v>-234449</v>
      </c>
      <c r="D11" s="8">
        <f>SUM('Outlook actuals from the ledger'!E9,'Outlook actuals from the ledger'!E21,'Outlook actuals from the ledger'!E33,'Outlook actuals from the ledger'!E45,'Outlook actuals from the ledger'!E57,'Outlook actuals from the ledger'!E69,'Outlook actuals from the ledger'!E81,'Outlook actuals from the ledger'!E93,'Outlook actuals from the ledger'!E105,'Outlook actuals from the ledger'!E117,'Outlook actuals from the ledger'!E129,'Outlook actuals from the ledger'!E141,'Outlook actuals from the ledger'!E153)</f>
        <v>-222327</v>
      </c>
      <c r="E11" s="8">
        <f>SUM('Outlook actuals from the ledger'!F9,'Outlook actuals from the ledger'!F21,'Outlook actuals from the ledger'!F33,'Outlook actuals from the ledger'!F45,'Outlook actuals from the ledger'!F57,'Outlook actuals from the ledger'!F69,'Outlook actuals from the ledger'!F81,'Outlook actuals from the ledger'!F93,'Outlook actuals from the ledger'!F105,'Outlook actuals from the ledger'!F117,'Outlook actuals from the ledger'!F129,'Outlook actuals from the ledger'!F141,'Outlook actuals from the ledger'!F153)</f>
        <v>-237798</v>
      </c>
      <c r="F11" s="8">
        <f>SUM('Outlook actuals from the ledger'!G9,'Outlook actuals from the ledger'!G21,'Outlook actuals from the ledger'!G33,'Outlook actuals from the ledger'!G45,'Outlook actuals from the ledger'!G57,'Outlook actuals from the ledger'!G69,'Outlook actuals from the ledger'!G81,'Outlook actuals from the ledger'!G93,'Outlook actuals from the ledger'!G105,'Outlook actuals from the ledger'!G117,'Outlook actuals from the ledger'!G129,'Outlook actuals from the ledger'!G141,'Outlook actuals from the ledger'!G153)</f>
        <v>-233161</v>
      </c>
      <c r="G11" s="8">
        <f>SUM('Outlook actuals from the ledger'!H9,'Outlook actuals from the ledger'!H21,'Outlook actuals from the ledger'!H33,'Outlook actuals from the ledger'!H45,'Outlook actuals from the ledger'!H57,'Outlook actuals from the ledger'!H69,'Outlook actuals from the ledger'!H81,'Outlook actuals from the ledger'!H93,'Outlook actuals from the ledger'!H105,'Outlook actuals from the ledger'!H117,'Outlook actuals from the ledger'!H129,'Outlook actuals from the ledger'!H141,'Outlook actuals from the ledger'!H153)</f>
        <v>-246233</v>
      </c>
      <c r="H11" s="8">
        <f>SUM('Outlook actuals from the ledger'!I9,'Outlook actuals from the ledger'!I21,'Outlook actuals from the ledger'!I33,'Outlook actuals from the ledger'!I45,'Outlook actuals from the ledger'!I57,'Outlook actuals from the ledger'!I69,'Outlook actuals from the ledger'!I81,'Outlook actuals from the ledger'!I93,'Outlook actuals from the ledger'!I105,'Outlook actuals from the ledger'!I117,'Outlook actuals from the ledger'!I129,'Outlook actuals from the ledger'!I141,'Outlook actuals from the ledger'!I153)</f>
        <v>-236103</v>
      </c>
      <c r="I11" s="8">
        <f>SUM('Outlook actuals from the ledger'!J9,'Outlook actuals from the ledger'!J21,'Outlook actuals from the ledger'!J33,'Outlook actuals from the ledger'!J45,'Outlook actuals from the ledger'!J57,'Outlook actuals from the ledger'!J69,'Outlook actuals from the ledger'!J81,'Outlook actuals from the ledger'!J93,'Outlook actuals from the ledger'!J105,'Outlook actuals from the ledger'!J117,'Outlook actuals from the ledger'!J129,'Outlook actuals from the ledger'!J141,'Outlook actuals from the ledger'!J153)</f>
        <v>-234200</v>
      </c>
      <c r="J11" s="8">
        <f>SUM('Outlook actuals from the ledger'!K9,'Outlook actuals from the ledger'!K21,'Outlook actuals from the ledger'!K33,'Outlook actuals from the ledger'!K45,'Outlook actuals from the ledger'!K57,'Outlook actuals from the ledger'!K69,'Outlook actuals from the ledger'!K81,'Outlook actuals from the ledger'!K93,'Outlook actuals from the ledger'!K105,'Outlook actuals from the ledger'!K117,'Outlook actuals from the ledger'!K129,'Outlook actuals from the ledger'!K141,'Outlook actuals from the ledger'!K153)</f>
        <v>-237293</v>
      </c>
      <c r="K11" s="8">
        <f>SUM('Outlook actuals from the ledger'!L9,'Outlook actuals from the ledger'!L21,'Outlook actuals from the ledger'!L33,'Outlook actuals from the ledger'!L45,'Outlook actuals from the ledger'!L57,'Outlook actuals from the ledger'!L69,'Outlook actuals from the ledger'!L81,'Outlook actuals from the ledger'!L93,'Outlook actuals from the ledger'!L105,'Outlook actuals from the ledger'!L117,'Outlook actuals from the ledger'!L129,'Outlook actuals from the ledger'!L141,'Outlook actuals from the ledger'!L153)</f>
        <v>-284929.9342569999</v>
      </c>
      <c r="L11" s="8">
        <f>SUM('Outlook actuals from the ledger'!M9,'Outlook actuals from the ledger'!M21,'Outlook actuals from the ledger'!M33,'Outlook actuals from the ledger'!M45,'Outlook actuals from the ledger'!M57,'Outlook actuals from the ledger'!M69,'Outlook actuals from the ledger'!M81,'Outlook actuals from the ledger'!M93,'Outlook actuals from the ledger'!M105,'Outlook actuals from the ledger'!M117,'Outlook actuals from the ledger'!M129,'Outlook actuals from the ledger'!M141,'Outlook actuals from the ledger'!M153)</f>
        <v>-286829.824961883</v>
      </c>
      <c r="M11" s="8">
        <f>SUM('Outlook actuals from the ledger'!N9,'Outlook actuals from the ledger'!N21,'Outlook actuals from the ledger'!N33,'Outlook actuals from the ledger'!N45,'Outlook actuals from the ledger'!N57,'Outlook actuals from the ledger'!N69,'Outlook actuals from the ledger'!N81,'Outlook actuals from the ledger'!N93,'Outlook actuals from the ledger'!N105,'Outlook actuals from the ledger'!N117,'Outlook actuals from the ledger'!N129,'Outlook actuals from the ledger'!N141,'Outlook actuals from the ledger'!N153)</f>
        <v>-288764.10636188276</v>
      </c>
      <c r="N11" s="8">
        <f>SUM('Outlook actuals from the ledger'!O9,'Outlook actuals from the ledger'!O21,'Outlook actuals from the ledger'!O33,'Outlook actuals from the ledger'!O45,'Outlook actuals from the ledger'!O57,'Outlook actuals from the ledger'!O69,'Outlook actuals from the ledger'!O81,'Outlook actuals from the ledger'!O93,'Outlook actuals from the ledger'!O105,'Outlook actuals from the ledger'!O117,'Outlook actuals from the ledger'!O129,'Outlook actuals from the ledger'!O141,'Outlook actuals from the ledger'!O153)</f>
        <v>-290733.42163683684</v>
      </c>
    </row>
    <row r="12">
      <c r="A12" s="0" t="inlineStr">
        <is>
          <t xml:space="preserve">Marketing</t>
        </is>
      </c>
      <c r="B12" s="0" t="inlineStr">
        <is>
          <t xml:space="preserve">United States</t>
        </is>
      </c>
      <c r="C12" s="8">
        <f>SUM('Outlook actuals from the ledger'!D4,'Outlook actuals from the ledger'!D16,'Outlook actuals from the ledger'!D28,'Outlook actuals from the ledger'!D40,'Outlook actuals from the ledger'!D52,'Outlook actuals from the ledger'!D64,'Outlook actuals from the ledger'!D76,'Outlook actuals from the ledger'!D88,'Outlook actuals from the ledger'!D100,'Outlook actuals from the ledger'!D112,'Outlook actuals from the ledger'!D124,'Outlook actuals from the ledger'!D136,'Outlook actuals from the ledger'!D148)</f>
        <v>-473456</v>
      </c>
      <c r="D12" s="8">
        <f>SUM('Outlook actuals from the ledger'!E4,'Outlook actuals from the ledger'!E16,'Outlook actuals from the ledger'!E28,'Outlook actuals from the ledger'!E40,'Outlook actuals from the ledger'!E52,'Outlook actuals from the ledger'!E64,'Outlook actuals from the ledger'!E76,'Outlook actuals from the ledger'!E88,'Outlook actuals from the ledger'!E100,'Outlook actuals from the ledger'!E112,'Outlook actuals from the ledger'!E124,'Outlook actuals from the ledger'!E136,'Outlook actuals from the ledger'!E148)</f>
        <v>-499080</v>
      </c>
      <c r="E12" s="8">
        <f>SUM('Outlook actuals from the ledger'!F4,'Outlook actuals from the ledger'!F16,'Outlook actuals from the ledger'!F28,'Outlook actuals from the ledger'!F40,'Outlook actuals from the ledger'!F52,'Outlook actuals from the ledger'!F64,'Outlook actuals from the ledger'!F76,'Outlook actuals from the ledger'!F88,'Outlook actuals from the ledger'!F100,'Outlook actuals from the ledger'!F112,'Outlook actuals from the ledger'!F124,'Outlook actuals from the ledger'!F136,'Outlook actuals from the ledger'!F148)</f>
        <v>-557625</v>
      </c>
      <c r="F12" s="8">
        <f>SUM('Outlook actuals from the ledger'!G4,'Outlook actuals from the ledger'!G16,'Outlook actuals from the ledger'!G28,'Outlook actuals from the ledger'!G40,'Outlook actuals from the ledger'!G52,'Outlook actuals from the ledger'!G64,'Outlook actuals from the ledger'!G76,'Outlook actuals from the ledger'!G88,'Outlook actuals from the ledger'!G100,'Outlook actuals from the ledger'!G112,'Outlook actuals from the ledger'!G124,'Outlook actuals from the ledger'!G136,'Outlook actuals from the ledger'!G148)</f>
        <v>-522561</v>
      </c>
      <c r="G12" s="8">
        <f>SUM('Outlook actuals from the ledger'!H4,'Outlook actuals from the ledger'!H16,'Outlook actuals from the ledger'!H28,'Outlook actuals from the ledger'!H40,'Outlook actuals from the ledger'!H52,'Outlook actuals from the ledger'!H64,'Outlook actuals from the ledger'!H76,'Outlook actuals from the ledger'!H88,'Outlook actuals from the ledger'!H100,'Outlook actuals from the ledger'!H112,'Outlook actuals from the ledger'!H124,'Outlook actuals from the ledger'!H136,'Outlook actuals from the ledger'!H148)</f>
        <v>-548495</v>
      </c>
      <c r="H12" s="8">
        <f>SUM('Outlook actuals from the ledger'!I4,'Outlook actuals from the ledger'!I16,'Outlook actuals from the ledger'!I28,'Outlook actuals from the ledger'!I40,'Outlook actuals from the ledger'!I52,'Outlook actuals from the ledger'!I64,'Outlook actuals from the ledger'!I76,'Outlook actuals from the ledger'!I88,'Outlook actuals from the ledger'!I100,'Outlook actuals from the ledger'!I112,'Outlook actuals from the ledger'!I124,'Outlook actuals from the ledger'!I136,'Outlook actuals from the ledger'!I148)</f>
        <v>-553318</v>
      </c>
      <c r="I12" s="8">
        <f>SUM('Outlook actuals from the ledger'!J4,'Outlook actuals from the ledger'!J16,'Outlook actuals from the ledger'!J28,'Outlook actuals from the ledger'!J40,'Outlook actuals from the ledger'!J52,'Outlook actuals from the ledger'!J64,'Outlook actuals from the ledger'!J76,'Outlook actuals from the ledger'!J88,'Outlook actuals from the ledger'!J100,'Outlook actuals from the ledger'!J112,'Outlook actuals from the ledger'!J124,'Outlook actuals from the ledger'!J136,'Outlook actuals from the ledger'!J148)</f>
        <v>-550645</v>
      </c>
      <c r="J12" s="8">
        <f>SUM('Outlook actuals from the ledger'!K4,'Outlook actuals from the ledger'!K16,'Outlook actuals from the ledger'!K28,'Outlook actuals from the ledger'!K40,'Outlook actuals from the ledger'!K52,'Outlook actuals from the ledger'!K64,'Outlook actuals from the ledger'!K76,'Outlook actuals from the ledger'!K88,'Outlook actuals from the ledger'!K100,'Outlook actuals from the ledger'!K112,'Outlook actuals from the ledger'!K124,'Outlook actuals from the ledger'!K136,'Outlook actuals from the ledger'!K148)</f>
        <v>-523293</v>
      </c>
      <c r="K12" s="8">
        <f>SUM('Outlook actuals from the ledger'!L4,'Outlook actuals from the ledger'!L16,'Outlook actuals from the ledger'!L28,'Outlook actuals from the ledger'!L40,'Outlook actuals from the ledger'!L52,'Outlook actuals from the ledger'!L64,'Outlook actuals from the ledger'!L76,'Outlook actuals from the ledger'!L88,'Outlook actuals from the ledger'!L100,'Outlook actuals from the ledger'!L112,'Outlook actuals from the ledger'!L124,'Outlook actuals from the ledger'!L136,'Outlook actuals from the ledger'!L148)</f>
        <v>-565327.0380156665</v>
      </c>
      <c r="L12" s="8">
        <f>SUM('Outlook actuals from the ledger'!M4,'Outlook actuals from the ledger'!M16,'Outlook actuals from the ledger'!M28,'Outlook actuals from the ledger'!M40,'Outlook actuals from the ledger'!M52,'Outlook actuals from the ledger'!M64,'Outlook actuals from the ledger'!M76,'Outlook actuals from the ledger'!M88,'Outlook actuals from the ledger'!M100,'Outlook actuals from the ledger'!M112,'Outlook actuals from the ledger'!M124,'Outlook actuals from the ledger'!M136,'Outlook actuals from the ledger'!M148)</f>
        <v>-586943.7268026309</v>
      </c>
      <c r="M12" s="8">
        <f>SUM('Outlook actuals from the ledger'!N4,'Outlook actuals from the ledger'!N16,'Outlook actuals from the ledger'!N28,'Outlook actuals from the ledger'!N40,'Outlook actuals from the ledger'!N52,'Outlook actuals from the ledger'!N64,'Outlook actuals from the ledger'!N76,'Outlook actuals from the ledger'!N88,'Outlook actuals from the ledger'!N100,'Outlook actuals from the ledger'!N112,'Outlook actuals from the ledger'!N124,'Outlook actuals from the ledger'!N136,'Outlook actuals from the ledger'!N148)</f>
        <v>-594536.7296802689</v>
      </c>
      <c r="N12" s="8">
        <f>SUM('Outlook actuals from the ledger'!O4,'Outlook actuals from the ledger'!O16,'Outlook actuals from the ledger'!O28,'Outlook actuals from the ledger'!O40,'Outlook actuals from the ledger'!O52,'Outlook actuals from the ledger'!O64,'Outlook actuals from the ledger'!O76,'Outlook actuals from the ledger'!O88,'Outlook actuals from the ledger'!O100,'Outlook actuals from the ledger'!O112,'Outlook actuals from the ledger'!O124,'Outlook actuals from the ledger'!O136,'Outlook actuals from the ledger'!O148)</f>
        <v>-602272.0214849922</v>
      </c>
    </row>
    <row r="13">
      <c r="A13" s="0" t="inlineStr">
        <is>
          <t xml:space="preserve">Marketing</t>
        </is>
      </c>
      <c r="B13" s="0" t="inlineStr">
        <is>
          <t xml:space="preserve">United Kingdom</t>
        </is>
      </c>
      <c r="C13" s="8">
        <f>SUM('Outlook actuals from the ledger'!D10,'Outlook actuals from the ledger'!D22,'Outlook actuals from the ledger'!D34,'Outlook actuals from the ledger'!D46,'Outlook actuals from the ledger'!D58,'Outlook actuals from the ledger'!D70,'Outlook actuals from the ledger'!D82,'Outlook actuals from the ledger'!D94,'Outlook actuals from the ledger'!D106,'Outlook actuals from the ledger'!D118,'Outlook actuals from the ledger'!D130,'Outlook actuals from the ledger'!D142,'Outlook actuals from the ledger'!D154)</f>
        <v>-209937</v>
      </c>
      <c r="D13" s="8">
        <f>SUM('Outlook actuals from the ledger'!E10,'Outlook actuals from the ledger'!E22,'Outlook actuals from the ledger'!E34,'Outlook actuals from the ledger'!E46,'Outlook actuals from the ledger'!E58,'Outlook actuals from the ledger'!E70,'Outlook actuals from the ledger'!E82,'Outlook actuals from the ledger'!E94,'Outlook actuals from the ledger'!E106,'Outlook actuals from the ledger'!E118,'Outlook actuals from the ledger'!E130,'Outlook actuals from the ledger'!E142,'Outlook actuals from the ledger'!E154)</f>
        <v>-206660</v>
      </c>
      <c r="E13" s="8">
        <f>SUM('Outlook actuals from the ledger'!F10,'Outlook actuals from the ledger'!F22,'Outlook actuals from the ledger'!F34,'Outlook actuals from the ledger'!F46,'Outlook actuals from the ledger'!F58,'Outlook actuals from the ledger'!F70,'Outlook actuals from the ledger'!F82,'Outlook actuals from the ledger'!F94,'Outlook actuals from the ledger'!F106,'Outlook actuals from the ledger'!F118,'Outlook actuals from the ledger'!F130,'Outlook actuals from the ledger'!F142,'Outlook actuals from the ledger'!F154)</f>
        <v>-231151</v>
      </c>
      <c r="F13" s="8">
        <f>SUM('Outlook actuals from the ledger'!G10,'Outlook actuals from the ledger'!G22,'Outlook actuals from the ledger'!G34,'Outlook actuals from the ledger'!G46,'Outlook actuals from the ledger'!G58,'Outlook actuals from the ledger'!G70,'Outlook actuals from the ledger'!G82,'Outlook actuals from the ledger'!G94,'Outlook actuals from the ledger'!G106,'Outlook actuals from the ledger'!G118,'Outlook actuals from the ledger'!G130,'Outlook actuals from the ledger'!G142,'Outlook actuals from the ledger'!G154)</f>
        <v>-224813</v>
      </c>
      <c r="G13" s="8">
        <f>SUM('Outlook actuals from the ledger'!H10,'Outlook actuals from the ledger'!H22,'Outlook actuals from the ledger'!H34,'Outlook actuals from the ledger'!H46,'Outlook actuals from the ledger'!H58,'Outlook actuals from the ledger'!H70,'Outlook actuals from the ledger'!H82,'Outlook actuals from the ledger'!H94,'Outlook actuals from the ledger'!H106,'Outlook actuals from the ledger'!H118,'Outlook actuals from the ledger'!H130,'Outlook actuals from the ledger'!H142,'Outlook actuals from the ledger'!H154)</f>
        <v>-234576</v>
      </c>
      <c r="H13" s="8">
        <f>SUM('Outlook actuals from the ledger'!I10,'Outlook actuals from the ledger'!I22,'Outlook actuals from the ledger'!I34,'Outlook actuals from the ledger'!I46,'Outlook actuals from the ledger'!I58,'Outlook actuals from the ledger'!I70,'Outlook actuals from the ledger'!I82,'Outlook actuals from the ledger'!I94,'Outlook actuals from the ledger'!I106,'Outlook actuals from the ledger'!I118,'Outlook actuals from the ledger'!I130,'Outlook actuals from the ledger'!I142,'Outlook actuals from the ledger'!I154)</f>
        <v>-233070</v>
      </c>
      <c r="I13" s="8">
        <f>SUM('Outlook actuals from the ledger'!J10,'Outlook actuals from the ledger'!J22,'Outlook actuals from the ledger'!J34,'Outlook actuals from the ledger'!J46,'Outlook actuals from the ledger'!J58,'Outlook actuals from the ledger'!J70,'Outlook actuals from the ledger'!J82,'Outlook actuals from the ledger'!J94,'Outlook actuals from the ledger'!J106,'Outlook actuals from the ledger'!J118,'Outlook actuals from the ledger'!J130,'Outlook actuals from the ledger'!J142,'Outlook actuals from the ledger'!J154)</f>
        <v>-232928</v>
      </c>
      <c r="J13" s="8">
        <f>SUM('Outlook actuals from the ledger'!K10,'Outlook actuals from the ledger'!K22,'Outlook actuals from the ledger'!K34,'Outlook actuals from the ledger'!K46,'Outlook actuals from the ledger'!K58,'Outlook actuals from the ledger'!K70,'Outlook actuals from the ledger'!K82,'Outlook actuals from the ledger'!K94,'Outlook actuals from the ledger'!K106,'Outlook actuals from the ledger'!K118,'Outlook actuals from the ledger'!K130,'Outlook actuals from the ledger'!K142,'Outlook actuals from the ledger'!K154)</f>
        <v>-244435</v>
      </c>
      <c r="K13" s="8">
        <f>SUM('Outlook actuals from the ledger'!L10,'Outlook actuals from the ledger'!L22,'Outlook actuals from the ledger'!L34,'Outlook actuals from the ledger'!L46,'Outlook actuals from the ledger'!L58,'Outlook actuals from the ledger'!L70,'Outlook actuals from the ledger'!L82,'Outlook actuals from the ledger'!L94,'Outlook actuals from the ledger'!L106,'Outlook actuals from the ledger'!L118,'Outlook actuals from the ledger'!L130,'Outlook actuals from the ledger'!L142,'Outlook actuals from the ledger'!L154)</f>
        <v>-248123.19577299996</v>
      </c>
      <c r="L13" s="8">
        <f>SUM('Outlook actuals from the ledger'!M10,'Outlook actuals from the ledger'!M22,'Outlook actuals from the ledger'!M34,'Outlook actuals from the ledger'!M46,'Outlook actuals from the ledger'!M58,'Outlook actuals from the ledger'!M70,'Outlook actuals from the ledger'!M82,'Outlook actuals from the ledger'!M94,'Outlook actuals from the ledger'!M106,'Outlook actuals from the ledger'!M118,'Outlook actuals from the ledger'!M130,'Outlook actuals from the ledger'!M142,'Outlook actuals from the ledger'!M154)</f>
        <v>-251315.471016687</v>
      </c>
      <c r="M13" s="8">
        <f>SUM('Outlook actuals from the ledger'!N10,'Outlook actuals from the ledger'!N22,'Outlook actuals from the ledger'!N34,'Outlook actuals from the ledger'!N46,'Outlook actuals from the ledger'!N58,'Outlook actuals from the ledger'!N70,'Outlook actuals from the ledger'!N82,'Outlook actuals from the ledger'!N94,'Outlook actuals from the ledger'!N106,'Outlook actuals from the ledger'!N118,'Outlook actuals from the ledger'!N130,'Outlook actuals from the ledger'!N142,'Outlook actuals from the ledger'!N154)</f>
        <v>-254567.50165914802</v>
      </c>
      <c r="N13" s="8">
        <f>SUM('Outlook actuals from the ledger'!O10,'Outlook actuals from the ledger'!O22,'Outlook actuals from the ledger'!O34,'Outlook actuals from the ledger'!O46,'Outlook actuals from the ledger'!O58,'Outlook actuals from the ledger'!O70,'Outlook actuals from the ledger'!O82,'Outlook actuals from the ledger'!O94,'Outlook actuals from the ledger'!O106,'Outlook actuals from the ledger'!O118,'Outlook actuals from the ledger'!O130,'Outlook actuals from the ledger'!O142,'Outlook actuals from the ledger'!O154)</f>
        <v>-257880.4176659747</v>
      </c>
    </row>
    <row r="14">
      <c r="A14" s="0" t="inlineStr">
        <is>
          <t xml:space="preserve">Engineering</t>
        </is>
      </c>
      <c r="B14" s="0" t="inlineStr">
        <is>
          <t xml:space="preserve">United States</t>
        </is>
      </c>
      <c r="C14" s="8">
        <f>SUM('Outlook actuals from the ledger'!D5,'Outlook actuals from the ledger'!D17,'Outlook actuals from the ledger'!D29,'Outlook actuals from the ledger'!D41,'Outlook actuals from the ledger'!D53,'Outlook actuals from the ledger'!D65,'Outlook actuals from the ledger'!D77,'Outlook actuals from the ledger'!D89,'Outlook actuals from the ledger'!D101,'Outlook actuals from the ledger'!D113,'Outlook actuals from the ledger'!D125,'Outlook actuals from the ledger'!D137,'Outlook actuals from the ledger'!D149)</f>
        <v>-1157408</v>
      </c>
      <c r="D14" s="8">
        <f>SUM('Outlook actuals from the ledger'!E5,'Outlook actuals from the ledger'!E17,'Outlook actuals from the ledger'!E29,'Outlook actuals from the ledger'!E41,'Outlook actuals from the ledger'!E53,'Outlook actuals from the ledger'!E65,'Outlook actuals from the ledger'!E77,'Outlook actuals from the ledger'!E89,'Outlook actuals from the ledger'!E101,'Outlook actuals from the ledger'!E113,'Outlook actuals from the ledger'!E125,'Outlook actuals from the ledger'!E137,'Outlook actuals from the ledger'!E149)</f>
        <v>-1239489</v>
      </c>
      <c r="E14" s="8">
        <f>SUM('Outlook actuals from the ledger'!F5,'Outlook actuals from the ledger'!F17,'Outlook actuals from the ledger'!F29,'Outlook actuals from the ledger'!F41,'Outlook actuals from the ledger'!F53,'Outlook actuals from the ledger'!F65,'Outlook actuals from the ledger'!F77,'Outlook actuals from the ledger'!F89,'Outlook actuals from the ledger'!F101,'Outlook actuals from the ledger'!F113,'Outlook actuals from the ledger'!F125,'Outlook actuals from the ledger'!F137,'Outlook actuals from the ledger'!F149)</f>
        <v>-1297740</v>
      </c>
      <c r="F14" s="8">
        <f>SUM('Outlook actuals from the ledger'!G5,'Outlook actuals from the ledger'!G17,'Outlook actuals from the ledger'!G29,'Outlook actuals from the ledger'!G41,'Outlook actuals from the ledger'!G53,'Outlook actuals from the ledger'!G65,'Outlook actuals from the ledger'!G77,'Outlook actuals from the ledger'!G89,'Outlook actuals from the ledger'!G101,'Outlook actuals from the ledger'!G113,'Outlook actuals from the ledger'!G125,'Outlook actuals from the ledger'!G137,'Outlook actuals from the ledger'!G149)</f>
        <v>-1308696</v>
      </c>
      <c r="G14" s="8">
        <f>SUM('Outlook actuals from the ledger'!H5,'Outlook actuals from the ledger'!H17,'Outlook actuals from the ledger'!H29,'Outlook actuals from the ledger'!H41,'Outlook actuals from the ledger'!H53,'Outlook actuals from the ledger'!H65,'Outlook actuals from the ledger'!H77,'Outlook actuals from the ledger'!H89,'Outlook actuals from the ledger'!H101,'Outlook actuals from the ledger'!H113,'Outlook actuals from the ledger'!H125,'Outlook actuals from the ledger'!H137,'Outlook actuals from the ledger'!H149)</f>
        <v>-1261328</v>
      </c>
      <c r="H14" s="8">
        <f>SUM('Outlook actuals from the ledger'!I5,'Outlook actuals from the ledger'!I17,'Outlook actuals from the ledger'!I29,'Outlook actuals from the ledger'!I41,'Outlook actuals from the ledger'!I53,'Outlook actuals from the ledger'!I65,'Outlook actuals from the ledger'!I77,'Outlook actuals from the ledger'!I89,'Outlook actuals from the ledger'!I101,'Outlook actuals from the ledger'!I113,'Outlook actuals from the ledger'!I125,'Outlook actuals from the ledger'!I137,'Outlook actuals from the ledger'!I149)</f>
        <v>-1431989</v>
      </c>
      <c r="I14" s="8">
        <f>SUM('Outlook actuals from the ledger'!J5,'Outlook actuals from the ledger'!J17,'Outlook actuals from the ledger'!J29,'Outlook actuals from the ledger'!J41,'Outlook actuals from the ledger'!J53,'Outlook actuals from the ledger'!J65,'Outlook actuals from the ledger'!J77,'Outlook actuals from the ledger'!J89,'Outlook actuals from the ledger'!J101,'Outlook actuals from the ledger'!J113,'Outlook actuals from the ledger'!J125,'Outlook actuals from the ledger'!J137,'Outlook actuals from the ledger'!J149)</f>
        <v>-1352217</v>
      </c>
      <c r="J14" s="8">
        <f>SUM('Outlook actuals from the ledger'!K5,'Outlook actuals from the ledger'!K17,'Outlook actuals from the ledger'!K29,'Outlook actuals from the ledger'!K41,'Outlook actuals from the ledger'!K53,'Outlook actuals from the ledger'!K65,'Outlook actuals from the ledger'!K77,'Outlook actuals from the ledger'!K89,'Outlook actuals from the ledger'!K101,'Outlook actuals from the ledger'!K113,'Outlook actuals from the ledger'!K125,'Outlook actuals from the ledger'!K137,'Outlook actuals from the ledger'!K149)</f>
        <v>-1395748</v>
      </c>
      <c r="K14" s="8">
        <f>SUM('Outlook actuals from the ledger'!L5,'Outlook actuals from the ledger'!L17,'Outlook actuals from the ledger'!L29,'Outlook actuals from the ledger'!L41,'Outlook actuals from the ledger'!L53,'Outlook actuals from the ledger'!L65,'Outlook actuals from the ledger'!L77,'Outlook actuals from the ledger'!L89,'Outlook actuals from the ledger'!L101,'Outlook actuals from the ledger'!L113,'Outlook actuals from the ledger'!L125,'Outlook actuals from the ledger'!L137,'Outlook actuals from the ledger'!L149)</f>
        <v>-1497668.0762336669</v>
      </c>
      <c r="L14" s="8">
        <f>SUM('Outlook actuals from the ledger'!M5,'Outlook actuals from the ledger'!M17,'Outlook actuals from the ledger'!M29,'Outlook actuals from the ledger'!M41,'Outlook actuals from the ledger'!M53,'Outlook actuals from the ledger'!M65,'Outlook actuals from the ledger'!M77,'Outlook actuals from the ledger'!M89,'Outlook actuals from the ledger'!M101,'Outlook actuals from the ledger'!M113,'Outlook actuals from the ledger'!M125,'Outlook actuals from the ledger'!M137,'Outlook actuals from the ledger'!M149)</f>
        <v>-1525235.9337321061</v>
      </c>
      <c r="M14" s="8">
        <f>SUM('Outlook actuals from the ledger'!N5,'Outlook actuals from the ledger'!N17,'Outlook actuals from the ledger'!N29,'Outlook actuals from the ledger'!N41,'Outlook actuals from the ledger'!N53,'Outlook actuals from the ledger'!N65,'Outlook actuals from the ledger'!N77,'Outlook actuals from the ledger'!N89,'Outlook actuals from the ledger'!N101,'Outlook actuals from the ledger'!N113,'Outlook actuals from the ledger'!N125,'Outlook actuals from the ledger'!N137,'Outlook actuals from the ledger'!N149)</f>
        <v>-1552955.6578806494</v>
      </c>
      <c r="N14" s="8">
        <f>SUM('Outlook actuals from the ledger'!O5,'Outlook actuals from the ledger'!O17,'Outlook actuals from the ledger'!O29,'Outlook actuals from the ledger'!O41,'Outlook actuals from the ledger'!O53,'Outlook actuals from the ledger'!O65,'Outlook actuals from the ledger'!O77,'Outlook actuals from the ledger'!O89,'Outlook actuals from the ledger'!O101,'Outlook actuals from the ledger'!O113,'Outlook actuals from the ledger'!O125,'Outlook actuals from the ledger'!O137,'Outlook actuals from the ledger'!O149)</f>
        <v>-1580830.0938797945</v>
      </c>
    </row>
    <row r="15">
      <c r="A15" s="0" t="inlineStr">
        <is>
          <t xml:space="preserve">Engineering</t>
        </is>
      </c>
      <c r="B15" s="0" t="inlineStr">
        <is>
          <t xml:space="preserve">United Kingdom</t>
        </is>
      </c>
      <c r="C15" s="8">
        <f>SUM('Outlook actuals from the ledger'!D11,'Outlook actuals from the ledger'!D23,'Outlook actuals from the ledger'!D35,'Outlook actuals from the ledger'!D47,'Outlook actuals from the ledger'!D59,'Outlook actuals from the ledger'!D71,'Outlook actuals from the ledger'!D83,'Outlook actuals from the ledger'!D95,'Outlook actuals from the ledger'!D107,'Outlook actuals from the ledger'!D119,'Outlook actuals from the ledger'!D131,'Outlook actuals from the ledger'!D143,'Outlook actuals from the ledger'!D155)</f>
        <v>-443215</v>
      </c>
      <c r="D15" s="8">
        <f>SUM('Outlook actuals from the ledger'!E11,'Outlook actuals from the ledger'!E23,'Outlook actuals from the ledger'!E35,'Outlook actuals from the ledger'!E47,'Outlook actuals from the ledger'!E59,'Outlook actuals from the ledger'!E71,'Outlook actuals from the ledger'!E83,'Outlook actuals from the ledger'!E95,'Outlook actuals from the ledger'!E107,'Outlook actuals from the ledger'!E119,'Outlook actuals from the ledger'!E131,'Outlook actuals from the ledger'!E143,'Outlook actuals from the ledger'!E155)</f>
        <v>-481226</v>
      </c>
      <c r="E15" s="8">
        <f>SUM('Outlook actuals from the ledger'!F11,'Outlook actuals from the ledger'!F23,'Outlook actuals from the ledger'!F35,'Outlook actuals from the ledger'!F47,'Outlook actuals from the ledger'!F59,'Outlook actuals from the ledger'!F71,'Outlook actuals from the ledger'!F83,'Outlook actuals from the ledger'!F95,'Outlook actuals from the ledger'!F107,'Outlook actuals from the ledger'!F119,'Outlook actuals from the ledger'!F131,'Outlook actuals from the ledger'!F143,'Outlook actuals from the ledger'!F155)</f>
        <v>-501851</v>
      </c>
      <c r="F15" s="8">
        <f>SUM('Outlook actuals from the ledger'!G11,'Outlook actuals from the ledger'!G23,'Outlook actuals from the ledger'!G35,'Outlook actuals from the ledger'!G47,'Outlook actuals from the ledger'!G59,'Outlook actuals from the ledger'!G71,'Outlook actuals from the ledger'!G83,'Outlook actuals from the ledger'!G95,'Outlook actuals from the ledger'!G107,'Outlook actuals from the ledger'!G119,'Outlook actuals from the ledger'!G131,'Outlook actuals from the ledger'!G143,'Outlook actuals from the ledger'!G155)</f>
        <v>-506742</v>
      </c>
      <c r="G15" s="8">
        <f>SUM('Outlook actuals from the ledger'!H11,'Outlook actuals from the ledger'!H23,'Outlook actuals from the ledger'!H35,'Outlook actuals from the ledger'!H47,'Outlook actuals from the ledger'!H59,'Outlook actuals from the ledger'!H71,'Outlook actuals from the ledger'!H83,'Outlook actuals from the ledger'!H95,'Outlook actuals from the ledger'!H107,'Outlook actuals from the ledger'!H119,'Outlook actuals from the ledger'!H131,'Outlook actuals from the ledger'!H143,'Outlook actuals from the ledger'!H155)</f>
        <v>-515949</v>
      </c>
      <c r="H15" s="8">
        <f>SUM('Outlook actuals from the ledger'!I11,'Outlook actuals from the ledger'!I23,'Outlook actuals from the ledger'!I35,'Outlook actuals from the ledger'!I47,'Outlook actuals from the ledger'!I59,'Outlook actuals from the ledger'!I71,'Outlook actuals from the ledger'!I83,'Outlook actuals from the ledger'!I95,'Outlook actuals from the ledger'!I107,'Outlook actuals from the ledger'!I119,'Outlook actuals from the ledger'!I131,'Outlook actuals from the ledger'!I143,'Outlook actuals from the ledger'!I155)</f>
        <v>-546017</v>
      </c>
      <c r="I15" s="8">
        <f>SUM('Outlook actuals from the ledger'!J11,'Outlook actuals from the ledger'!J23,'Outlook actuals from the ledger'!J35,'Outlook actuals from the ledger'!J47,'Outlook actuals from the ledger'!J59,'Outlook actuals from the ledger'!J71,'Outlook actuals from the ledger'!J83,'Outlook actuals from the ledger'!J95,'Outlook actuals from the ledger'!J107,'Outlook actuals from the ledger'!J119,'Outlook actuals from the ledger'!J131,'Outlook actuals from the ledger'!J143,'Outlook actuals from the ledger'!J155)</f>
        <v>-583360</v>
      </c>
      <c r="J15" s="8">
        <f>SUM('Outlook actuals from the ledger'!K11,'Outlook actuals from the ledger'!K23,'Outlook actuals from the ledger'!K35,'Outlook actuals from the ledger'!K47,'Outlook actuals from the ledger'!K59,'Outlook actuals from the ledger'!K71,'Outlook actuals from the ledger'!K83,'Outlook actuals from the ledger'!K95,'Outlook actuals from the ledger'!K107,'Outlook actuals from the ledger'!K119,'Outlook actuals from the ledger'!K131,'Outlook actuals from the ledger'!K143,'Outlook actuals from the ledger'!K155)</f>
        <v>-527641</v>
      </c>
      <c r="K15" s="8">
        <f>SUM('Outlook actuals from the ledger'!L11,'Outlook actuals from the ledger'!L23,'Outlook actuals from the ledger'!L35,'Outlook actuals from the ledger'!L47,'Outlook actuals from the ledger'!L59,'Outlook actuals from the ledger'!L71,'Outlook actuals from the ledger'!L83,'Outlook actuals from the ledger'!L95,'Outlook actuals from the ledger'!L107,'Outlook actuals from the ledger'!L119,'Outlook actuals from the ledger'!L131,'Outlook actuals from the ledger'!L143,'Outlook actuals from the ledger'!L155)</f>
        <v>-620253.7743589999</v>
      </c>
      <c r="L15" s="8">
        <f>SUM('Outlook actuals from the ledger'!M11,'Outlook actuals from the ledger'!M23,'Outlook actuals from the ledger'!M35,'Outlook actuals from the ledger'!M47,'Outlook actuals from the ledger'!M59,'Outlook actuals from the ledger'!M71,'Outlook actuals from the ledger'!M83,'Outlook actuals from the ledger'!M95,'Outlook actuals from the ledger'!M107,'Outlook actuals from the ledger'!M119,'Outlook actuals from the ledger'!M131,'Outlook actuals from the ledger'!M143,'Outlook actuals from the ledger'!M155)</f>
        <v>-623808.3582358209</v>
      </c>
      <c r="M15" s="8">
        <f>SUM('Outlook actuals from the ledger'!N11,'Outlook actuals from the ledger'!N23,'Outlook actuals from the ledger'!N35,'Outlook actuals from the ledger'!N47,'Outlook actuals from the ledger'!N59,'Outlook actuals from the ledger'!N71,'Outlook actuals from the ledger'!N83,'Outlook actuals from the ledger'!N95,'Outlook actuals from the ledger'!N107,'Outlook actuals from the ledger'!N119,'Outlook actuals from the ledger'!N131,'Outlook actuals from the ledger'!N143,'Outlook actuals from the ledger'!N155)</f>
        <v>-643816.8064292856</v>
      </c>
      <c r="N15" s="8">
        <f>SUM('Outlook actuals from the ledger'!O11,'Outlook actuals from the ledger'!O23,'Outlook actuals from the ledger'!O35,'Outlook actuals from the ledger'!O47,'Outlook actuals from the ledger'!O59,'Outlook actuals from the ledger'!O71,'Outlook actuals from the ledger'!O83,'Outlook actuals from the ledger'!O95,'Outlook actuals from the ledger'!O107,'Outlook actuals from the ledger'!O119,'Outlook actuals from the ledger'!O131,'Outlook actuals from the ledger'!O143,'Outlook actuals from the ledger'!O155)</f>
        <v>-647502.3353247478</v>
      </c>
    </row>
    <row r="16">
      <c r="A16" s="0" t="inlineStr">
        <is>
          <t xml:space="preserve">Customer success</t>
        </is>
      </c>
      <c r="B16" s="0" t="inlineStr">
        <is>
          <t xml:space="preserve">United States</t>
        </is>
      </c>
      <c r="C16" s="8">
        <f>SUM('Outlook actuals from the ledger'!D6,'Outlook actuals from the ledger'!D18,'Outlook actuals from the ledger'!D30,'Outlook actuals from the ledger'!D42,'Outlook actuals from the ledger'!D54,'Outlook actuals from the ledger'!D66,'Outlook actuals from the ledger'!D78,'Outlook actuals from the ledger'!D90,'Outlook actuals from the ledger'!D102,'Outlook actuals from the ledger'!D114,'Outlook actuals from the ledger'!D126,'Outlook actuals from the ledger'!D138,'Outlook actuals from the ledger'!D150)</f>
        <v>-130297</v>
      </c>
      <c r="D16" s="8">
        <f>SUM('Outlook actuals from the ledger'!E6,'Outlook actuals from the ledger'!E18,'Outlook actuals from the ledger'!E30,'Outlook actuals from the ledger'!E42,'Outlook actuals from the ledger'!E54,'Outlook actuals from the ledger'!E66,'Outlook actuals from the ledger'!E78,'Outlook actuals from the ledger'!E90,'Outlook actuals from the ledger'!E102,'Outlook actuals from the ledger'!E114,'Outlook actuals from the ledger'!E126,'Outlook actuals from the ledger'!E138,'Outlook actuals from the ledger'!E150)</f>
        <v>-166429</v>
      </c>
      <c r="E16" s="8">
        <f>SUM('Outlook actuals from the ledger'!F6,'Outlook actuals from the ledger'!F18,'Outlook actuals from the ledger'!F30,'Outlook actuals from the ledger'!F42,'Outlook actuals from the ledger'!F54,'Outlook actuals from the ledger'!F66,'Outlook actuals from the ledger'!F78,'Outlook actuals from the ledger'!F90,'Outlook actuals from the ledger'!F102,'Outlook actuals from the ledger'!F114,'Outlook actuals from the ledger'!F126,'Outlook actuals from the ledger'!F138,'Outlook actuals from the ledger'!F150)</f>
        <v>-156996</v>
      </c>
      <c r="F16" s="8">
        <f>SUM('Outlook actuals from the ledger'!G6,'Outlook actuals from the ledger'!G18,'Outlook actuals from the ledger'!G30,'Outlook actuals from the ledger'!G42,'Outlook actuals from the ledger'!G54,'Outlook actuals from the ledger'!G66,'Outlook actuals from the ledger'!G78,'Outlook actuals from the ledger'!G90,'Outlook actuals from the ledger'!G102,'Outlook actuals from the ledger'!G114,'Outlook actuals from the ledger'!G126,'Outlook actuals from the ledger'!G138,'Outlook actuals from the ledger'!G150)</f>
        <v>-162631</v>
      </c>
      <c r="G16" s="8">
        <f>SUM('Outlook actuals from the ledger'!H6,'Outlook actuals from the ledger'!H18,'Outlook actuals from the ledger'!H30,'Outlook actuals from the ledger'!H42,'Outlook actuals from the ledger'!H54,'Outlook actuals from the ledger'!H66,'Outlook actuals from the ledger'!H78,'Outlook actuals from the ledger'!H90,'Outlook actuals from the ledger'!H102,'Outlook actuals from the ledger'!H114,'Outlook actuals from the ledger'!H126,'Outlook actuals from the ledger'!H138,'Outlook actuals from the ledger'!H150)</f>
        <v>-161625</v>
      </c>
      <c r="H16" s="8">
        <f>SUM('Outlook actuals from the ledger'!I6,'Outlook actuals from the ledger'!I18,'Outlook actuals from the ledger'!I30,'Outlook actuals from the ledger'!I42,'Outlook actuals from the ledger'!I54,'Outlook actuals from the ledger'!I66,'Outlook actuals from the ledger'!I78,'Outlook actuals from the ledger'!I90,'Outlook actuals from the ledger'!I102,'Outlook actuals from the ledger'!I114,'Outlook actuals from the ledger'!I126,'Outlook actuals from the ledger'!I138,'Outlook actuals from the ledger'!I150)</f>
        <v>-168787</v>
      </c>
      <c r="I16" s="8">
        <f>SUM('Outlook actuals from the ledger'!J6,'Outlook actuals from the ledger'!J18,'Outlook actuals from the ledger'!J30,'Outlook actuals from the ledger'!J42,'Outlook actuals from the ledger'!J54,'Outlook actuals from the ledger'!J66,'Outlook actuals from the ledger'!J78,'Outlook actuals from the ledger'!J90,'Outlook actuals from the ledger'!J102,'Outlook actuals from the ledger'!J114,'Outlook actuals from the ledger'!J126,'Outlook actuals from the ledger'!J138,'Outlook actuals from the ledger'!J150)</f>
        <v>-172197</v>
      </c>
      <c r="J16" s="8">
        <f>SUM('Outlook actuals from the ledger'!K6,'Outlook actuals from the ledger'!K18,'Outlook actuals from the ledger'!K30,'Outlook actuals from the ledger'!K42,'Outlook actuals from the ledger'!K54,'Outlook actuals from the ledger'!K66,'Outlook actuals from the ledger'!K78,'Outlook actuals from the ledger'!K90,'Outlook actuals from the ledger'!K102,'Outlook actuals from the ledger'!K114,'Outlook actuals from the ledger'!K126,'Outlook actuals from the ledger'!K138,'Outlook actuals from the ledger'!K150)</f>
        <v>-186986</v>
      </c>
      <c r="K16" s="8">
        <f>SUM('Outlook actuals from the ledger'!L6,'Outlook actuals from the ledger'!L18,'Outlook actuals from the ledger'!L30,'Outlook actuals from the ledger'!L42,'Outlook actuals from the ledger'!L54,'Outlook actuals from the ledger'!L66,'Outlook actuals from the ledger'!L78,'Outlook actuals from the ledger'!L90,'Outlook actuals from the ledger'!L102,'Outlook actuals from the ledger'!L114,'Outlook actuals from the ledger'!L126,'Outlook actuals from the ledger'!L138,'Outlook actuals from the ledger'!L150)</f>
        <v>-177805.896</v>
      </c>
      <c r="L16" s="8">
        <f>SUM('Outlook actuals from the ledger'!M6,'Outlook actuals from the ledger'!M18,'Outlook actuals from the ledger'!M30,'Outlook actuals from the ledger'!M42,'Outlook actuals from the ledger'!M54,'Outlook actuals from the ledger'!M66,'Outlook actuals from the ledger'!M78,'Outlook actuals from the ledger'!M90,'Outlook actuals from the ledger'!M102,'Outlook actuals from the ledger'!M114,'Outlook actuals from the ledger'!M126,'Outlook actuals from the ledger'!M138,'Outlook actuals from the ledger'!M150)</f>
        <v>-188999.5147093333</v>
      </c>
      <c r="M16" s="8">
        <f>SUM('Outlook actuals from the ledger'!N6,'Outlook actuals from the ledger'!N18,'Outlook actuals from the ledger'!N30,'Outlook actuals from the ledger'!N42,'Outlook actuals from the ledger'!N54,'Outlook actuals from the ledger'!N66,'Outlook actuals from the ledger'!N78,'Outlook actuals from the ledger'!N90,'Outlook actuals from the ledger'!N102,'Outlook actuals from the ledger'!N114,'Outlook actuals from the ledger'!N126,'Outlook actuals from the ledger'!N138,'Outlook actuals from the ledger'!N150)</f>
        <v>-189065.1917975893</v>
      </c>
      <c r="N16" s="8">
        <f>SUM('Outlook actuals from the ledger'!O6,'Outlook actuals from the ledger'!O18,'Outlook actuals from the ledger'!O30,'Outlook actuals from the ledger'!O42,'Outlook actuals from the ledger'!O54,'Outlook actuals from the ledger'!O66,'Outlook actuals from the ledger'!O78,'Outlook actuals from the ledger'!O90,'Outlook actuals from the ledger'!O102,'Outlook actuals from the ledger'!O114,'Outlook actuals from the ledger'!O126,'Outlook actuals from the ledger'!O138,'Outlook actuals from the ledger'!O150)</f>
        <v>-189131.26294837485</v>
      </c>
    </row>
    <row r="17">
      <c r="A17" s="0" t="inlineStr">
        <is>
          <t xml:space="preserve">Customer success</t>
        </is>
      </c>
      <c r="B17" s="0" t="inlineStr">
        <is>
          <t xml:space="preserve">United Kingdom</t>
        </is>
      </c>
      <c r="C17" s="8">
        <f>SUM('Outlook actuals from the ledger'!D12,'Outlook actuals from the ledger'!D24,'Outlook actuals from the ledger'!D36,'Outlook actuals from the ledger'!D48,'Outlook actuals from the ledger'!D60,'Outlook actuals from the ledger'!D72,'Outlook actuals from the ledger'!D84,'Outlook actuals from the ledger'!D96,'Outlook actuals from the ledger'!D108,'Outlook actuals from the ledger'!D120,'Outlook actuals from the ledger'!D132,'Outlook actuals from the ledger'!D144,'Outlook actuals from the ledger'!D156)</f>
        <v>-53057</v>
      </c>
      <c r="D17" s="8">
        <f>SUM('Outlook actuals from the ledger'!E12,'Outlook actuals from the ledger'!E24,'Outlook actuals from the ledger'!E36,'Outlook actuals from the ledger'!E48,'Outlook actuals from the ledger'!E60,'Outlook actuals from the ledger'!E72,'Outlook actuals from the ledger'!E84,'Outlook actuals from the ledger'!E96,'Outlook actuals from the ledger'!E108,'Outlook actuals from the ledger'!E120,'Outlook actuals from the ledger'!E132,'Outlook actuals from the ledger'!E144,'Outlook actuals from the ledger'!E156)</f>
        <v>-50364</v>
      </c>
      <c r="E17" s="8">
        <f>SUM('Outlook actuals from the ledger'!F12,'Outlook actuals from the ledger'!F24,'Outlook actuals from the ledger'!F36,'Outlook actuals from the ledger'!F48,'Outlook actuals from the ledger'!F60,'Outlook actuals from the ledger'!F72,'Outlook actuals from the ledger'!F84,'Outlook actuals from the ledger'!F96,'Outlook actuals from the ledger'!F108,'Outlook actuals from the ledger'!F120,'Outlook actuals from the ledger'!F132,'Outlook actuals from the ledger'!F144,'Outlook actuals from the ledger'!F156)</f>
        <v>-55236</v>
      </c>
      <c r="F17" s="8">
        <f>SUM('Outlook actuals from the ledger'!G12,'Outlook actuals from the ledger'!G24,'Outlook actuals from the ledger'!G36,'Outlook actuals from the ledger'!G48,'Outlook actuals from the ledger'!G60,'Outlook actuals from the ledger'!G72,'Outlook actuals from the ledger'!G84,'Outlook actuals from the ledger'!G96,'Outlook actuals from the ledger'!G108,'Outlook actuals from the ledger'!G120,'Outlook actuals from the ledger'!G132,'Outlook actuals from the ledger'!G144,'Outlook actuals from the ledger'!G156)</f>
        <v>-51918</v>
      </c>
      <c r="G17" s="8">
        <f>SUM('Outlook actuals from the ledger'!H12,'Outlook actuals from the ledger'!H24,'Outlook actuals from the ledger'!H36,'Outlook actuals from the ledger'!H48,'Outlook actuals from the ledger'!H60,'Outlook actuals from the ledger'!H72,'Outlook actuals from the ledger'!H84,'Outlook actuals from the ledger'!H96,'Outlook actuals from the ledger'!H108,'Outlook actuals from the ledger'!H120,'Outlook actuals from the ledger'!H132,'Outlook actuals from the ledger'!H144,'Outlook actuals from the ledger'!H156)</f>
        <v>-63450</v>
      </c>
      <c r="H17" s="8">
        <f>SUM('Outlook actuals from the ledger'!I12,'Outlook actuals from the ledger'!I24,'Outlook actuals from the ledger'!I36,'Outlook actuals from the ledger'!I48,'Outlook actuals from the ledger'!I60,'Outlook actuals from the ledger'!I72,'Outlook actuals from the ledger'!I84,'Outlook actuals from the ledger'!I96,'Outlook actuals from the ledger'!I108,'Outlook actuals from the ledger'!I120,'Outlook actuals from the ledger'!I132,'Outlook actuals from the ledger'!I144,'Outlook actuals from the ledger'!I156)</f>
        <v>-60846</v>
      </c>
      <c r="I17" s="8">
        <f>SUM('Outlook actuals from the ledger'!J12,'Outlook actuals from the ledger'!J24,'Outlook actuals from the ledger'!J36,'Outlook actuals from the ledger'!J48,'Outlook actuals from the ledger'!J60,'Outlook actuals from the ledger'!J72,'Outlook actuals from the ledger'!J84,'Outlook actuals from the ledger'!J96,'Outlook actuals from the ledger'!J108,'Outlook actuals from the ledger'!J120,'Outlook actuals from the ledger'!J132,'Outlook actuals from the ledger'!J144,'Outlook actuals from the ledger'!J156)</f>
        <v>-61881</v>
      </c>
      <c r="J17" s="8">
        <f>SUM('Outlook actuals from the ledger'!K12,'Outlook actuals from the ledger'!K24,'Outlook actuals from the ledger'!K36,'Outlook actuals from the ledger'!K48,'Outlook actuals from the ledger'!K60,'Outlook actuals from the ledger'!K72,'Outlook actuals from the ledger'!K84,'Outlook actuals from the ledger'!K96,'Outlook actuals from the ledger'!K108,'Outlook actuals from the ledger'!K120,'Outlook actuals from the ledger'!K132,'Outlook actuals from the ledger'!K144,'Outlook actuals from the ledger'!K156)</f>
        <v>-63231</v>
      </c>
      <c r="K17" s="8">
        <f>SUM('Outlook actuals from the ledger'!L12,'Outlook actuals from the ledger'!L24,'Outlook actuals from the ledger'!L36,'Outlook actuals from the ledger'!L48,'Outlook actuals from the ledger'!L60,'Outlook actuals from the ledger'!L72,'Outlook actuals from the ledger'!L84,'Outlook actuals from the ledger'!L96,'Outlook actuals from the ledger'!L108,'Outlook actuals from the ledger'!L120,'Outlook actuals from the ledger'!L132,'Outlook actuals from the ledger'!L144,'Outlook actuals from the ledger'!L156)</f>
        <v>-61969.292</v>
      </c>
      <c r="L17" s="8">
        <f>SUM('Outlook actuals from the ledger'!M12,'Outlook actuals from the ledger'!M24,'Outlook actuals from the ledger'!M36,'Outlook actuals from the ledger'!M48,'Outlook actuals from the ledger'!M60,'Outlook actuals from the ledger'!M72,'Outlook actuals from the ledger'!M84,'Outlook actuals from the ledger'!M96,'Outlook actuals from the ledger'!M108,'Outlook actuals from the ledger'!M120,'Outlook actuals from the ledger'!M132,'Outlook actuals from the ledger'!M144,'Outlook actuals from the ledger'!M156)</f>
        <v>-61998.759752</v>
      </c>
      <c r="M17" s="8">
        <f>SUM('Outlook actuals from the ledger'!N12,'Outlook actuals from the ledger'!N24,'Outlook actuals from the ledger'!N36,'Outlook actuals from the ledger'!N48,'Outlook actuals from the ledger'!N60,'Outlook actuals from the ledger'!N72,'Outlook actuals from the ledger'!N84,'Outlook actuals from the ledger'!N96,'Outlook actuals from the ledger'!N108,'Outlook actuals from the ledger'!N120,'Outlook actuals from the ledger'!N132,'Outlook actuals from the ledger'!N144,'Outlook actuals from the ledger'!N156)</f>
        <v>-62028.404310512</v>
      </c>
      <c r="N17" s="8">
        <f>SUM('Outlook actuals from the ledger'!O12,'Outlook actuals from the ledger'!O24,'Outlook actuals from the ledger'!O36,'Outlook actuals from the ledger'!O48,'Outlook actuals from the ledger'!O60,'Outlook actuals from the ledger'!O72,'Outlook actuals from the ledger'!O84,'Outlook actuals from the ledger'!O96,'Outlook actuals from the ledger'!O108,'Outlook actuals from the ledger'!O120,'Outlook actuals from the ledger'!O132,'Outlook actuals from the ledger'!O144,'Outlook actuals from the ledger'!O156)</f>
        <v>-62058.22673637507</v>
      </c>
    </row>
    <row r="18">
      <c r="A18" s="0" t="inlineStr">
        <is>
          <t xml:space="preserve">G&amp;A</t>
        </is>
      </c>
      <c r="B18" s="0" t="inlineStr">
        <is>
          <t xml:space="preserve">United States</t>
        </is>
      </c>
      <c r="C18" s="8">
        <f>SUM('Outlook actuals from the ledger'!D7,'Outlook actuals from the ledger'!D19,'Outlook actuals from the ledger'!D31,'Outlook actuals from the ledger'!D43,'Outlook actuals from the ledger'!D55,'Outlook actuals from the ledger'!D67,'Outlook actuals from the ledger'!D79,'Outlook actuals from the ledger'!D91,'Outlook actuals from the ledger'!D103,'Outlook actuals from the ledger'!D115,'Outlook actuals from the ledger'!D127,'Outlook actuals from the ledger'!D139,'Outlook actuals from the ledger'!D151)</f>
        <v>-276524</v>
      </c>
      <c r="D18" s="8">
        <f>SUM('Outlook actuals from the ledger'!E7,'Outlook actuals from the ledger'!E19,'Outlook actuals from the ledger'!E31,'Outlook actuals from the ledger'!E43,'Outlook actuals from the ledger'!E55,'Outlook actuals from the ledger'!E67,'Outlook actuals from the ledger'!E79,'Outlook actuals from the ledger'!E91,'Outlook actuals from the ledger'!E103,'Outlook actuals from the ledger'!E115,'Outlook actuals from the ledger'!E127,'Outlook actuals from the ledger'!E139,'Outlook actuals from the ledger'!E151)</f>
        <v>-297294</v>
      </c>
      <c r="E18" s="8">
        <f>SUM('Outlook actuals from the ledger'!F7,'Outlook actuals from the ledger'!F19,'Outlook actuals from the ledger'!F31,'Outlook actuals from the ledger'!F43,'Outlook actuals from the ledger'!F55,'Outlook actuals from the ledger'!F67,'Outlook actuals from the ledger'!F79,'Outlook actuals from the ledger'!F91,'Outlook actuals from the ledger'!F103,'Outlook actuals from the ledger'!F115,'Outlook actuals from the ledger'!F127,'Outlook actuals from the ledger'!F139,'Outlook actuals from the ledger'!F151)</f>
        <v>-287555</v>
      </c>
      <c r="F18" s="8">
        <f>SUM('Outlook actuals from the ledger'!G7,'Outlook actuals from the ledger'!G19,'Outlook actuals from the ledger'!G31,'Outlook actuals from the ledger'!G43,'Outlook actuals from the ledger'!G55,'Outlook actuals from the ledger'!G67,'Outlook actuals from the ledger'!G79,'Outlook actuals from the ledger'!G91,'Outlook actuals from the ledger'!G103,'Outlook actuals from the ledger'!G115,'Outlook actuals from the ledger'!G127,'Outlook actuals from the ledger'!G139,'Outlook actuals from the ledger'!G151)</f>
        <v>-308530</v>
      </c>
      <c r="G18" s="8">
        <f>SUM('Outlook actuals from the ledger'!H7,'Outlook actuals from the ledger'!H19,'Outlook actuals from the ledger'!H31,'Outlook actuals from the ledger'!H43,'Outlook actuals from the ledger'!H55,'Outlook actuals from the ledger'!H67,'Outlook actuals from the ledger'!H79,'Outlook actuals from the ledger'!H91,'Outlook actuals from the ledger'!H103,'Outlook actuals from the ledger'!H115,'Outlook actuals from the ledger'!H127,'Outlook actuals from the ledger'!H139,'Outlook actuals from the ledger'!H151)</f>
        <v>-304761</v>
      </c>
      <c r="H18" s="8">
        <f>SUM('Outlook actuals from the ledger'!I7,'Outlook actuals from the ledger'!I19,'Outlook actuals from the ledger'!I31,'Outlook actuals from the ledger'!I43,'Outlook actuals from the ledger'!I55,'Outlook actuals from the ledger'!I67,'Outlook actuals from the ledger'!I79,'Outlook actuals from the ledger'!I91,'Outlook actuals from the ledger'!I103,'Outlook actuals from the ledger'!I115,'Outlook actuals from the ledger'!I127,'Outlook actuals from the ledger'!I139,'Outlook actuals from the ledger'!I151)</f>
        <v>-306873</v>
      </c>
      <c r="I18" s="8">
        <f>SUM('Outlook actuals from the ledger'!J7,'Outlook actuals from the ledger'!J19,'Outlook actuals from the ledger'!J31,'Outlook actuals from the ledger'!J43,'Outlook actuals from the ledger'!J55,'Outlook actuals from the ledger'!J67,'Outlook actuals from the ledger'!J79,'Outlook actuals from the ledger'!J91,'Outlook actuals from the ledger'!J103,'Outlook actuals from the ledger'!J115,'Outlook actuals from the ledger'!J127,'Outlook actuals from the ledger'!J139,'Outlook actuals from the ledger'!J151)</f>
        <v>-327798</v>
      </c>
      <c r="J18" s="8">
        <f>SUM('Outlook actuals from the ledger'!K7,'Outlook actuals from the ledger'!K19,'Outlook actuals from the ledger'!K31,'Outlook actuals from the ledger'!K43,'Outlook actuals from the ledger'!K55,'Outlook actuals from the ledger'!K67,'Outlook actuals from the ledger'!K79,'Outlook actuals from the ledger'!K91,'Outlook actuals from the ledger'!K103,'Outlook actuals from the ledger'!K115,'Outlook actuals from the ledger'!K127,'Outlook actuals from the ledger'!K139,'Outlook actuals from the ledger'!K151)</f>
        <v>-314040</v>
      </c>
      <c r="K18" s="8">
        <f>SUM('Outlook actuals from the ledger'!L7,'Outlook actuals from the ledger'!L19,'Outlook actuals from the ledger'!L31,'Outlook actuals from the ledger'!L43,'Outlook actuals from the ledger'!L55,'Outlook actuals from the ledger'!L67,'Outlook actuals from the ledger'!L79,'Outlook actuals from the ledger'!L91,'Outlook actuals from the ledger'!L103,'Outlook actuals from the ledger'!L115,'Outlook actuals from the ledger'!L127,'Outlook actuals from the ledger'!L139,'Outlook actuals from the ledger'!L151)</f>
        <v>-329597.708</v>
      </c>
      <c r="L18" s="8">
        <f>SUM('Outlook actuals from the ledger'!M7,'Outlook actuals from the ledger'!M19,'Outlook actuals from the ledger'!M31,'Outlook actuals from the ledger'!M43,'Outlook actuals from the ledger'!M55,'Outlook actuals from the ledger'!M67,'Outlook actuals from the ledger'!M79,'Outlook actuals from the ledger'!M91,'Outlook actuals from the ledger'!M103,'Outlook actuals from the ledger'!M115,'Outlook actuals from the ledger'!M127,'Outlook actuals from the ledger'!M139,'Outlook actuals from the ledger'!M151)</f>
        <v>-330482.69424800004</v>
      </c>
      <c r="M18" s="8">
        <f>SUM('Outlook actuals from the ledger'!N7,'Outlook actuals from the ledger'!N19,'Outlook actuals from the ledger'!N31,'Outlook actuals from the ledger'!N43,'Outlook actuals from the ledger'!N55,'Outlook actuals from the ledger'!N67,'Outlook actuals from the ledger'!N79,'Outlook actuals from the ledger'!N91,'Outlook actuals from the ledger'!N103,'Outlook actuals from the ledger'!N115,'Outlook actuals from the ledger'!N127,'Outlook actuals from the ledger'!N139,'Outlook actuals from the ledger'!N151)</f>
        <v>-331372.990413488</v>
      </c>
      <c r="N18" s="8">
        <f>SUM('Outlook actuals from the ledger'!O7,'Outlook actuals from the ledger'!O19,'Outlook actuals from the ledger'!O31,'Outlook actuals from the ledger'!O43,'Outlook actuals from the ledger'!O55,'Outlook actuals from the ledger'!O67,'Outlook actuals from the ledger'!O79,'Outlook actuals from the ledger'!O91,'Outlook actuals from the ledger'!O103,'Outlook actuals from the ledger'!O115,'Outlook actuals from the ledger'!O127,'Outlook actuals from the ledger'!O139,'Outlook actuals from the ledger'!O151)</f>
        <v>-332268.62835596886</v>
      </c>
    </row>
    <row r="19">
      <c r="A19" s="0" t="inlineStr">
        <is>
          <t xml:space="preserve">G&amp;A</t>
        </is>
      </c>
      <c r="B19" s="0" t="inlineStr">
        <is>
          <t xml:space="preserve">United Kingdom</t>
        </is>
      </c>
      <c r="C19" s="8">
        <f>SUM('Outlook actuals from the ledger'!D13,'Outlook actuals from the ledger'!D25,'Outlook actuals from the ledger'!D37,'Outlook actuals from the ledger'!D49,'Outlook actuals from the ledger'!D61,'Outlook actuals from the ledger'!D73,'Outlook actuals from the ledger'!D85,'Outlook actuals from the ledger'!D97,'Outlook actuals from the ledger'!D109,'Outlook actuals from the ledger'!D121,'Outlook actuals from the ledger'!D133,'Outlook actuals from the ledger'!D145,'Outlook actuals from the ledger'!D157)</f>
        <v>-111202</v>
      </c>
      <c r="D19" s="8">
        <f>SUM('Outlook actuals from the ledger'!E13,'Outlook actuals from the ledger'!E25,'Outlook actuals from the ledger'!E37,'Outlook actuals from the ledger'!E49,'Outlook actuals from the ledger'!E61,'Outlook actuals from the ledger'!E73,'Outlook actuals from the ledger'!E85,'Outlook actuals from the ledger'!E97,'Outlook actuals from the ledger'!E109,'Outlook actuals from the ledger'!E121,'Outlook actuals from the ledger'!E133,'Outlook actuals from the ledger'!E145,'Outlook actuals from the ledger'!E157)</f>
        <v>-112000</v>
      </c>
      <c r="E19" s="8">
        <f>SUM('Outlook actuals from the ledger'!F13,'Outlook actuals from the ledger'!F25,'Outlook actuals from the ledger'!F37,'Outlook actuals from the ledger'!F49,'Outlook actuals from the ledger'!F61,'Outlook actuals from the ledger'!F73,'Outlook actuals from the ledger'!F85,'Outlook actuals from the ledger'!F97,'Outlook actuals from the ledger'!F109,'Outlook actuals from the ledger'!F121,'Outlook actuals from the ledger'!F133,'Outlook actuals from the ledger'!F145,'Outlook actuals from the ledger'!F157)</f>
        <v>-116027</v>
      </c>
      <c r="F19" s="8">
        <f>SUM('Outlook actuals from the ledger'!G13,'Outlook actuals from the ledger'!G25,'Outlook actuals from the ledger'!G37,'Outlook actuals from the ledger'!G49,'Outlook actuals from the ledger'!G61,'Outlook actuals from the ledger'!G73,'Outlook actuals from the ledger'!G85,'Outlook actuals from the ledger'!G97,'Outlook actuals from the ledger'!G109,'Outlook actuals from the ledger'!G121,'Outlook actuals from the ledger'!G133,'Outlook actuals from the ledger'!G145,'Outlook actuals from the ledger'!G157)</f>
        <v>-113591</v>
      </c>
      <c r="G19" s="8">
        <f>SUM('Outlook actuals from the ledger'!H13,'Outlook actuals from the ledger'!H25,'Outlook actuals from the ledger'!H37,'Outlook actuals from the ledger'!H49,'Outlook actuals from the ledger'!H61,'Outlook actuals from the ledger'!H73,'Outlook actuals from the ledger'!H85,'Outlook actuals from the ledger'!H97,'Outlook actuals from the ledger'!H109,'Outlook actuals from the ledger'!H121,'Outlook actuals from the ledger'!H133,'Outlook actuals from the ledger'!H145,'Outlook actuals from the ledger'!H157)</f>
        <v>-115550</v>
      </c>
      <c r="H19" s="8">
        <f>SUM('Outlook actuals from the ledger'!I13,'Outlook actuals from the ledger'!I25,'Outlook actuals from the ledger'!I37,'Outlook actuals from the ledger'!I49,'Outlook actuals from the ledger'!I61,'Outlook actuals from the ledger'!I73,'Outlook actuals from the ledger'!I85,'Outlook actuals from the ledger'!I97,'Outlook actuals from the ledger'!I109,'Outlook actuals from the ledger'!I121,'Outlook actuals from the ledger'!I133,'Outlook actuals from the ledger'!I145,'Outlook actuals from the ledger'!I157)</f>
        <v>-113310</v>
      </c>
      <c r="I19" s="8">
        <f>SUM('Outlook actuals from the ledger'!J13,'Outlook actuals from the ledger'!J25,'Outlook actuals from the ledger'!J37,'Outlook actuals from the ledger'!J49,'Outlook actuals from the ledger'!J61,'Outlook actuals from the ledger'!J73,'Outlook actuals from the ledger'!J85,'Outlook actuals from the ledger'!J97,'Outlook actuals from the ledger'!J109,'Outlook actuals from the ledger'!J121,'Outlook actuals from the ledger'!J133,'Outlook actuals from the ledger'!J145,'Outlook actuals from the ledger'!J157)</f>
        <v>-111481</v>
      </c>
      <c r="J19" s="8">
        <f>SUM('Outlook actuals from the ledger'!K13,'Outlook actuals from the ledger'!K25,'Outlook actuals from the ledger'!K37,'Outlook actuals from the ledger'!K49,'Outlook actuals from the ledger'!K61,'Outlook actuals from the ledger'!K73,'Outlook actuals from the ledger'!K85,'Outlook actuals from the ledger'!K97,'Outlook actuals from the ledger'!K109,'Outlook actuals from the ledger'!K121,'Outlook actuals from the ledger'!K133,'Outlook actuals from the ledger'!K145,'Outlook actuals from the ledger'!K157)</f>
        <v>-105268</v>
      </c>
      <c r="K19" s="8">
        <f>SUM('Outlook actuals from the ledger'!L13,'Outlook actuals from the ledger'!L25,'Outlook actuals from the ledger'!L37,'Outlook actuals from the ledger'!L49,'Outlook actuals from the ledger'!L61,'Outlook actuals from the ledger'!L73,'Outlook actuals from the ledger'!L85,'Outlook actuals from the ledger'!L97,'Outlook actuals from the ledger'!L109,'Outlook actuals from the ledger'!L121,'Outlook actuals from the ledger'!L133,'Outlook actuals from the ledger'!L145,'Outlook actuals from the ledger'!L157)</f>
        <v>-120114.89466666667</v>
      </c>
      <c r="L19" s="8">
        <f>SUM('Outlook actuals from the ledger'!M13,'Outlook actuals from the ledger'!M25,'Outlook actuals from the ledger'!M37,'Outlook actuals from the ledger'!M49,'Outlook actuals from the ledger'!M61,'Outlook actuals from the ledger'!M73,'Outlook actuals from the ledger'!M85,'Outlook actuals from the ledger'!M97,'Outlook actuals from the ledger'!M109,'Outlook actuals from the ledger'!M121,'Outlook actuals from the ledger'!M133,'Outlook actuals from the ledger'!M145,'Outlook actuals from the ledger'!M157)</f>
        <v>-120447.10403466667</v>
      </c>
      <c r="M19" s="8">
        <f>SUM('Outlook actuals from the ledger'!N13,'Outlook actuals from the ledger'!N25,'Outlook actuals from the ledger'!N37,'Outlook actuals from the ledger'!N49,'Outlook actuals from the ledger'!N61,'Outlook actuals from the ledger'!N73,'Outlook actuals from the ledger'!N85,'Outlook actuals from the ledger'!N97,'Outlook actuals from the ledger'!N109,'Outlook actuals from the ledger'!N121,'Outlook actuals from the ledger'!N133,'Outlook actuals from the ledger'!N145,'Outlook actuals from the ledger'!N157)</f>
        <v>-120781.30665887467</v>
      </c>
      <c r="N19" s="8">
        <f>SUM('Outlook actuals from the ledger'!O13,'Outlook actuals from the ledger'!O25,'Outlook actuals from the ledger'!O37,'Outlook actuals from the ledger'!O49,'Outlook actuals from the ledger'!O61,'Outlook actuals from the ledger'!O73,'Outlook actuals from the ledger'!O85,'Outlook actuals from the ledger'!O97,'Outlook actuals from the ledger'!O109,'Outlook actuals from the ledger'!O121,'Outlook actuals from the ledger'!O133,'Outlook actuals from the ledger'!O145,'Outlook actuals from the ledger'!O157)</f>
        <v>-121117.51449882794</v>
      </c>
    </row>
    <row r="20">
      <c r="A20" s="0" t="inlineStr">
        <is>
          <t xml:space="preserve">Total operating expenses</t>
        </is>
      </c>
      <c r="B20" s="0" t="inlineStr">
        <is>
          <t xml:space="preserve">United States</t>
        </is>
      </c>
      <c r="C20" s="8">
        <f>((((C10+C12)+C14)+C16)+C18)</f>
        <v>-2652577</v>
      </c>
      <c r="D20" s="8">
        <f>((((D10+D12)+D14)+D16)+D18)</f>
        <v>-2847823</v>
      </c>
      <c r="E20" s="8">
        <f>((((E10+E12)+E14)+E16)+E18)</f>
        <v>-2925733</v>
      </c>
      <c r="F20" s="8">
        <f>((((F10+F12)+F14)+F16)+F18)</f>
        <v>-2955677</v>
      </c>
      <c r="G20" s="8">
        <f>((((G10+G12)+G14)+G16)+G18)</f>
        <v>-2966441</v>
      </c>
      <c r="H20" s="8">
        <f>((((H10+H12)+H14)+H16)+H18)</f>
        <v>-3154046</v>
      </c>
      <c r="I20" s="8">
        <f>((((I10+I12)+I14)+I16)+I18)</f>
        <v>-3091956</v>
      </c>
      <c r="J20" s="8">
        <f>((((J10+J12)+J14)+J16)+J18)</f>
        <v>-3103538</v>
      </c>
      <c r="K20" s="8">
        <f>((((K10+K12)+K14)+K16)+K18)</f>
        <v>-3320101.0182903334</v>
      </c>
      <c r="L20" s="8">
        <f>((((L10+L12)+L14)+L16)+L18)</f>
        <v>-3402479.5466658496</v>
      </c>
      <c r="M20" s="8">
        <f>((((M10+M12)+M14)+M16)+M18)</f>
        <v>-3443251.4153496684</v>
      </c>
      <c r="N20" s="8">
        <f>((((N10+N12)+N14)+N16)+N18)</f>
        <v>-3501100.314995596</v>
      </c>
    </row>
    <row r="21">
      <c r="A21" s="0" t="inlineStr">
        <is>
          <t xml:space="preserve">Total operating expenses</t>
        </is>
      </c>
      <c r="B21" s="0" t="inlineStr">
        <is>
          <t xml:space="preserve">United Kingdom</t>
        </is>
      </c>
      <c r="C21" s="8">
        <f>((((C11+C13)+C15)+C17)+C19)</f>
        <v>-1051860</v>
      </c>
      <c r="D21" s="8">
        <f>((((D11+D13)+D15)+D17)+D19)</f>
        <v>-1072577</v>
      </c>
      <c r="E21" s="8">
        <f>((((E11+E13)+E15)+E17)+E19)</f>
        <v>-1142063</v>
      </c>
      <c r="F21" s="8">
        <f>((((F11+F13)+F15)+F17)+F19)</f>
        <v>-1130225</v>
      </c>
      <c r="G21" s="8">
        <f>((((G11+G13)+G15)+G17)+G19)</f>
        <v>-1175758</v>
      </c>
      <c r="H21" s="8">
        <f>((((H11+H13)+H15)+H17)+H19)</f>
        <v>-1189346</v>
      </c>
      <c r="I21" s="8">
        <f>((((I11+I13)+I15)+I17)+I19)</f>
        <v>-1223850</v>
      </c>
      <c r="J21" s="8">
        <f>((((J11+J13)+J15)+J17)+J19)</f>
        <v>-1177868</v>
      </c>
      <c r="K21" s="8">
        <f>((((K11+K13)+K15)+K17)+K19)</f>
        <v>-1335391.0910556663</v>
      </c>
      <c r="L21" s="8">
        <f>((((L11+L13)+L15)+L17)+L19)</f>
        <v>-1344399.5180010577</v>
      </c>
      <c r="M21" s="8">
        <f>((((M11+M13)+M15)+M17)+M19)</f>
        <v>-1369958.1254197028</v>
      </c>
      <c r="N21" s="8">
        <f>((((N11+N13)+N15)+N17)+N19)</f>
        <v>-1379291.9158627624</v>
      </c>
    </row>
    <row r="22">
      <c r="A22" s="0" t="inlineStr">
        <is>
          <t xml:space="preserve">EBITDA</t>
        </is>
      </c>
      <c r="B22" s="0" t="inlineStr">
        <is>
          <t xml:space="preserve">United States</t>
        </is>
      </c>
      <c r="C22" s="8">
        <f>(C6+C20)</f>
        <v>778165</v>
      </c>
      <c r="D22" s="8">
        <f>(D6+D20)</f>
        <v>737945</v>
      </c>
      <c r="E22" s="8">
        <f>(E6+E20)</f>
        <v>735797</v>
      </c>
      <c r="F22" s="8">
        <f>(F6+F20)</f>
        <v>722684</v>
      </c>
      <c r="G22" s="8">
        <f>(G6+G20)</f>
        <v>682587</v>
      </c>
      <c r="H22" s="8">
        <f>(H6+H20)</f>
        <v>774658</v>
      </c>
      <c r="I22" s="8">
        <f>(I6+I20)</f>
        <v>564053</v>
      </c>
      <c r="J22" s="8">
        <f>(J6+J20)</f>
        <v>652753</v>
      </c>
      <c r="K22" s="8">
        <f>(K6+K20)</f>
        <v>527739.5289026666</v>
      </c>
      <c r="L22" s="8">
        <f>(L6+L20)</f>
        <v>518469.97092381725</v>
      </c>
      <c r="M22" s="8">
        <f>(M6+M20)</f>
        <v>552196.1430742014</v>
      </c>
      <c r="N22" s="8">
        <f>(N6+N20)</f>
        <v>570260.7470383272</v>
      </c>
    </row>
    <row r="23">
      <c r="A23" s="0" t="inlineStr">
        <is>
          <t xml:space="preserve">EBITDA</t>
        </is>
      </c>
      <c r="B23" s="0" t="inlineStr">
        <is>
          <t xml:space="preserve">United Kingdom</t>
        </is>
      </c>
      <c r="C23" s="8">
        <f>(C7+C21)</f>
        <v>336605</v>
      </c>
      <c r="D23" s="8">
        <f>(D7+D21)</f>
        <v>361038</v>
      </c>
      <c r="E23" s="8">
        <f>(E7+E21)</f>
        <v>325020</v>
      </c>
      <c r="F23" s="8">
        <f>(F7+F21)</f>
        <v>411981</v>
      </c>
      <c r="G23" s="8">
        <f>(G7+G21)</f>
        <v>382904</v>
      </c>
      <c r="H23" s="8">
        <f>(H7+H21)</f>
        <v>444350</v>
      </c>
      <c r="I23" s="8">
        <f>(I7+I21)</f>
        <v>404470</v>
      </c>
      <c r="J23" s="8">
        <f>(J7+J21)</f>
        <v>420217</v>
      </c>
      <c r="K23" s="8">
        <f>(K7+K21)</f>
        <v>310384.8231053336</v>
      </c>
      <c r="L23" s="8">
        <f>(L7+L21)</f>
        <v>332646.13852900104</v>
      </c>
      <c r="M23" s="8">
        <f>(M7+M21)</f>
        <v>338951.39858442685</v>
      </c>
      <c r="N23" s="8">
        <f>(N7+N21)</f>
        <v>362086.88909744564</v>
      </c>
    </row>
    <row r="24">
      <c r="A24" s="0" t="inlineStr">
        <is>
          <t xml:space="preserve">EBITDA margin</t>
        </is>
      </c>
      <c r="B24" s="0" t="inlineStr">
        <is>
          <t xml:space="preserve">United States</t>
        </is>
      </c>
      <c r="C24" s="12">
        <f>IFERROR((C22/C2),"")</f>
        <v>0.18835213994549596</v>
      </c>
      <c r="D24" s="12">
        <f>IFERROR((D22/D2),"")</f>
        <v>0.1736146728037048</v>
      </c>
      <c r="E24" s="12">
        <f>IFERROR((E22/E2),"")</f>
        <v>0.16835483614852537</v>
      </c>
      <c r="F24" s="12">
        <f>IFERROR((F22/F2),"")</f>
        <v>0.16244003049723438</v>
      </c>
      <c r="G24" s="12">
        <f>IFERROR((G22/G2),"")</f>
        <v>0.1541097699688388</v>
      </c>
      <c r="H24" s="12">
        <f>IFERROR((H22/H2),"")</f>
        <v>0.16392109861657228</v>
      </c>
      <c r="I24" s="12">
        <f>IFERROR((I22/I2),"")</f>
        <v>0.12799152067776487</v>
      </c>
      <c r="J24" s="12">
        <f>IFERROR((J22/J2),"")</f>
        <v>0.14365045883209138</v>
      </c>
      <c r="K24" s="12">
        <f>IFERROR((K22/K2),"")</f>
        <v>0.1139734204521649</v>
      </c>
      <c r="L24" s="12">
        <f>IFERROR((L22/L2),"")</f>
        <v>0.10988372686383081</v>
      </c>
      <c r="M24" s="12">
        <f>IFERROR((M22/M2),"")</f>
        <v>0.11484946008794046</v>
      </c>
      <c r="N24" s="12">
        <f>IFERROR((N22/N2),"")</f>
        <v>0.11639514982051509</v>
      </c>
    </row>
    <row r="25">
      <c r="A25" s="0" t="inlineStr">
        <is>
          <t xml:space="preserve">EBITDA margin</t>
        </is>
      </c>
      <c r="B25" s="0" t="inlineStr">
        <is>
          <t xml:space="preserve">United Kingdom</t>
        </is>
      </c>
      <c r="C25" s="12">
        <f>IFERROR((C23/C3),"")</f>
        <v>0.2010854630392965</v>
      </c>
      <c r="D25" s="12">
        <f>IFERROR((D23/D3),"")</f>
        <v>0.20974545623549437</v>
      </c>
      <c r="E25" s="12">
        <f>IFERROR((E23/E3),"")</f>
        <v>0.18128303680042301</v>
      </c>
      <c r="F25" s="12">
        <f>IFERROR((F23/F3),"")</f>
        <v>0.22154149443082452</v>
      </c>
      <c r="G25" s="12">
        <f>IFERROR((G23/G3),"")</f>
        <v>0.20424052017047425</v>
      </c>
      <c r="H25" s="12">
        <f>IFERROR((H23/H3),"")</f>
        <v>0.2253339567395315</v>
      </c>
      <c r="I25" s="12">
        <f>IFERROR((I23/I3),"")</f>
        <v>0.2075915895817733</v>
      </c>
      <c r="J25" s="12">
        <f>IFERROR((J23/J3),"")</f>
        <v>0.21621116833174775</v>
      </c>
      <c r="K25" s="12">
        <f>IFERROR((K23/K3),"")</f>
        <v>0.15672230088020353</v>
      </c>
      <c r="L25" s="12">
        <f>IFERROR((L23/L3),"")</f>
        <v>0.16483089774046666</v>
      </c>
      <c r="M25" s="12">
        <f>IFERROR((M23/M3),"")</f>
        <v>0.1648235955544818</v>
      </c>
      <c r="N25" s="12">
        <f>IFERROR((N23/N3),"")</f>
        <v>0.1727907816397553</v>
      </c>
    </row>
    <row r="26">
      <c r="A26" s="0" t="inlineStr">
        <is>
          <t xml:space="preserve">Headcount (period end)</t>
        </is>
      </c>
      <c r="B26" s="0" t="inlineStr">
        <is>
          <t xml:space="preserve">United States</t>
        </is>
      </c>
      <c r="C26" s="4">
        <f>SUM('Headcount plan'!D2:D7)</f>
        <v>92</v>
      </c>
      <c r="D26" s="4">
        <f>SUM('Headcount plan'!E2:E7)</f>
        <v>95</v>
      </c>
      <c r="E26" s="4">
        <f>SUM('Headcount plan'!F2:F7)</f>
        <v>98</v>
      </c>
      <c r="F26" s="4">
        <f>SUM('Headcount plan'!G2:G7)</f>
        <v>101</v>
      </c>
      <c r="G26" s="4">
        <f>SUM('Headcount plan'!H2:H7)</f>
        <v>103</v>
      </c>
      <c r="H26" s="4">
        <f>SUM('Headcount plan'!I2:I7)</f>
        <v>106</v>
      </c>
      <c r="I26" s="4">
        <f>SUM('Headcount plan'!J2:J7)</f>
        <v>108</v>
      </c>
      <c r="J26" s="4">
        <f>SUM('Headcount plan'!K2:K7)</f>
        <v>111</v>
      </c>
      <c r="K26" s="4">
        <f>SUM('Headcount plan'!L2:L7)</f>
        <v>119</v>
      </c>
      <c r="L26" s="4">
        <f>SUM('Headcount plan'!M2:M7)</f>
        <v>123</v>
      </c>
      <c r="M26" s="4">
        <f>SUM('Headcount plan'!N2:N7)</f>
        <v>124</v>
      </c>
      <c r="N26" s="4">
        <f>SUM('Headcount plan'!O2:O7)</f>
        <v>126</v>
      </c>
    </row>
    <row r="27">
      <c r="A27" s="0" t="inlineStr">
        <is>
          <t xml:space="preserve">Headcount (period end)</t>
        </is>
      </c>
      <c r="B27" s="0" t="inlineStr">
        <is>
          <t xml:space="preserve">United Kingdom</t>
        </is>
      </c>
      <c r="C27" s="4">
        <f>SUM('Headcount plan'!D8:D13)</f>
        <v>39</v>
      </c>
      <c r="D27" s="4">
        <f>SUM('Headcount plan'!E8:E13)</f>
        <v>39</v>
      </c>
      <c r="E27" s="4">
        <f>SUM('Headcount plan'!F8:F13)</f>
        <v>42</v>
      </c>
      <c r="F27" s="4">
        <f>SUM('Headcount plan'!G8:G13)</f>
        <v>42</v>
      </c>
      <c r="G27" s="4">
        <f>SUM('Headcount plan'!H8:H13)</f>
        <v>44</v>
      </c>
      <c r="H27" s="4">
        <f>SUM('Headcount plan'!I8:I13)</f>
        <v>44</v>
      </c>
      <c r="I27" s="4">
        <f>SUM('Headcount plan'!J8:J13)</f>
        <v>46</v>
      </c>
      <c r="J27" s="4">
        <f>SUM('Headcount plan'!K8:K13)</f>
        <v>46</v>
      </c>
      <c r="K27" s="4">
        <f>SUM('Headcount plan'!L8:L13)</f>
        <v>54</v>
      </c>
      <c r="L27" s="4">
        <f>SUM('Headcount plan'!M8:M13)</f>
        <v>54</v>
      </c>
      <c r="M27" s="4">
        <f>SUM('Headcount plan'!N8:N13)</f>
        <v>55</v>
      </c>
      <c r="N27" s="4">
        <f>SUM('Headcount plan'!O8:O13)</f>
        <v>55</v>
      </c>
    </row>
  </sheetData>
</worksheet>
</file>

<file path=xl/worksheets/sheet9.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3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s>
  <sheetData>
    <row r="1">
      <c r="A1" s="1" t="inlineStr">
        <is>
          <t xml:space="preserve">line</t>
        </is>
      </c>
      <c r="B1" s="1" t="inlineStr">
        <is>
          <t xml:space="preserve">Jan-26</t>
        </is>
      </c>
      <c r="C1" s="1" t="inlineStr">
        <is>
          <t xml:space="preserve">Feb-26</t>
        </is>
      </c>
      <c r="D1" s="1" t="inlineStr">
        <is>
          <t xml:space="preserve">Mar-26</t>
        </is>
      </c>
      <c r="E1" s="1" t="inlineStr">
        <is>
          <t xml:space="preserve">Apr-26</t>
        </is>
      </c>
      <c r="F1" s="1" t="inlineStr">
        <is>
          <t xml:space="preserve">May-26</t>
        </is>
      </c>
      <c r="G1" s="1" t="inlineStr">
        <is>
          <t xml:space="preserve">Jun-26</t>
        </is>
      </c>
      <c r="H1" s="1" t="inlineStr">
        <is>
          <t xml:space="preserve">Jul-26</t>
        </is>
      </c>
      <c r="I1" s="1" t="inlineStr">
        <is>
          <t xml:space="preserve">Aug-26</t>
        </is>
      </c>
      <c r="J1" s="1" t="inlineStr">
        <is>
          <t xml:space="preserve">Sep-26</t>
        </is>
      </c>
      <c r="K1" s="1" t="inlineStr">
        <is>
          <t xml:space="preserve">Oct-26</t>
        </is>
      </c>
      <c r="L1" s="1" t="inlineStr">
        <is>
          <t xml:space="preserve">Nov-26</t>
        </is>
      </c>
      <c r="M1" s="1" t="inlineStr">
        <is>
          <t xml:space="preserve">Dec-26</t>
        </is>
      </c>
    </row>
    <row r="2">
      <c r="A2" s="0" t="inlineStr">
        <is>
          <t xml:space="preserve">Revenue</t>
        </is>
      </c>
      <c r="B2" s="8">
        <f>SUM('P&amp;L by entity'!C2:C3)</f>
        <v>5805377</v>
      </c>
      <c r="C2" s="8">
        <f>SUM('P&amp;L by entity'!D2:D3)</f>
        <v>5971791</v>
      </c>
      <c r="D2" s="8">
        <f>SUM('P&amp;L by entity'!E2:E3)</f>
        <v>6163400</v>
      </c>
      <c r="E2" s="8">
        <f>SUM('P&amp;L by entity'!F2:F3)</f>
        <v>6308539</v>
      </c>
      <c r="F2" s="8">
        <f>SUM('P&amp;L by entity'!G2:G3)</f>
        <v>6303996</v>
      </c>
      <c r="G2" s="8">
        <f>SUM('P&amp;L by entity'!H2:H3)</f>
        <v>6697760</v>
      </c>
      <c r="H2" s="8">
        <f>SUM('P&amp;L by entity'!I2:I3)</f>
        <v>6355349</v>
      </c>
      <c r="I2" s="8">
        <f>SUM('P&amp;L by entity'!J2:J3)</f>
        <v>6487586</v>
      </c>
      <c r="J2" s="8">
        <f>SUM('P&amp;L by entity'!K2:K3)</f>
        <v>6610850.134</v>
      </c>
      <c r="K2" s="8">
        <f>SUM('P&amp;L by entity'!L2:L3)</f>
        <v>6736456.286545999</v>
      </c>
      <c r="L2" s="8">
        <f>SUM('P&amp;L by entity'!M2:M3)</f>
        <v>6864448.955990372</v>
      </c>
      <c r="M2" s="8">
        <f>SUM('P&amp;L by entity'!N2:N3)</f>
        <v>6994873.486154189</v>
      </c>
    </row>
    <row r="3">
      <c r="A3" s="0" t="inlineStr">
        <is>
          <t xml:space="preserve">Cost of revenue</t>
        </is>
      </c>
      <c r="B3" s="8">
        <f>SUM('P&amp;L by entity'!C4:C5)</f>
        <v>-986170</v>
      </c>
      <c r="C3" s="8">
        <f>SUM('P&amp;L by entity'!D4:D5)</f>
        <v>-952408</v>
      </c>
      <c r="D3" s="8">
        <f>SUM('P&amp;L by entity'!E4:E5)</f>
        <v>-1034787</v>
      </c>
      <c r="E3" s="8">
        <f>SUM('P&amp;L by entity'!F4:F5)</f>
        <v>-1087972</v>
      </c>
      <c r="F3" s="8">
        <f>SUM('P&amp;L by entity'!G4:G5)</f>
        <v>-1096306</v>
      </c>
      <c r="G3" s="8">
        <f>SUM('P&amp;L by entity'!H4:H5)</f>
        <v>-1135360</v>
      </c>
      <c r="H3" s="8">
        <f>SUM('P&amp;L by entity'!I4:I5)</f>
        <v>-1071020</v>
      </c>
      <c r="I3" s="8">
        <f>SUM('P&amp;L by entity'!J4:J5)</f>
        <v>-1133210</v>
      </c>
      <c r="J3" s="8">
        <f>SUM('P&amp;L by entity'!K4:K5)</f>
        <v>-1117233.6726459998</v>
      </c>
      <c r="K3" s="8">
        <f>SUM('P&amp;L by entity'!L4:L5)</f>
        <v>-1138461.1124262738</v>
      </c>
      <c r="L3" s="8">
        <f>SUM('P&amp;L by entity'!M4:M5)</f>
        <v>-1160091.8735623728</v>
      </c>
      <c r="M3" s="8">
        <f>SUM('P&amp;L by entity'!N4:N5)</f>
        <v>-1182133.6191600577</v>
      </c>
    </row>
    <row r="4">
      <c r="A4" s="0" t="inlineStr">
        <is>
          <t xml:space="preserve">Gross profit</t>
        </is>
      </c>
      <c r="B4" s="8">
        <f>SUM('P&amp;L by entity'!C6:C7)</f>
        <v>4819207</v>
      </c>
      <c r="C4" s="8">
        <f>SUM('P&amp;L by entity'!D6:D7)</f>
        <v>5019383</v>
      </c>
      <c r="D4" s="8">
        <f>SUM('P&amp;L by entity'!E6:E7)</f>
        <v>5128613</v>
      </c>
      <c r="E4" s="8">
        <f>SUM('P&amp;L by entity'!F6:F7)</f>
        <v>5220567</v>
      </c>
      <c r="F4" s="8">
        <f>SUM('P&amp;L by entity'!G6:G7)</f>
        <v>5207690</v>
      </c>
      <c r="G4" s="8">
        <f>SUM('P&amp;L by entity'!H6:H7)</f>
        <v>5562400</v>
      </c>
      <c r="H4" s="8">
        <f>SUM('P&amp;L by entity'!I6:I7)</f>
        <v>5284329</v>
      </c>
      <c r="I4" s="8">
        <f>SUM('P&amp;L by entity'!J6:J7)</f>
        <v>5354376</v>
      </c>
      <c r="J4" s="8">
        <f>SUM('P&amp;L by entity'!K6:K7)</f>
        <v>5493616.4613540005</v>
      </c>
      <c r="K4" s="8">
        <f>SUM('P&amp;L by entity'!L6:L7)</f>
        <v>5597995.174119726</v>
      </c>
      <c r="L4" s="8">
        <f>SUM('P&amp;L by entity'!M6:M7)</f>
        <v>5704357.082427999</v>
      </c>
      <c r="M4" s="8">
        <f>SUM('P&amp;L by entity'!N6:N7)</f>
        <v>5812739.866994131</v>
      </c>
    </row>
    <row r="5">
      <c r="A5" s="0" t="inlineStr">
        <is>
          <t xml:space="preserve">Gross margin</t>
        </is>
      </c>
      <c r="B5" s="12">
        <f>IFERROR((B4/B2),"")</f>
        <v>0.8301281725545129</v>
      </c>
      <c r="C5" s="12">
        <f>IFERROR((C4/C2),"")</f>
        <v>0.8405155170366813</v>
      </c>
      <c r="D5" s="12">
        <f>IFERROR((D4/D2),"")</f>
        <v>0.8321077651945354</v>
      </c>
      <c r="E5" s="12">
        <f>IFERROR((E4/E2),"")</f>
        <v>0.8275397837756095</v>
      </c>
      <c r="F5" s="12">
        <f>IFERROR((F4/F2),"")</f>
        <v>0.8260934810237823</v>
      </c>
      <c r="G5" s="12">
        <f>IFERROR((G4/G2),"")</f>
        <v>0.8304866104488665</v>
      </c>
      <c r="H5" s="12">
        <f>IFERROR((H4/H2),"")</f>
        <v>0.8314773901480469</v>
      </c>
      <c r="I5" s="12">
        <f>IFERROR((I4/I2),"")</f>
        <v>0.8253264002974295</v>
      </c>
      <c r="J5" s="12">
        <f>IFERROR((J4/J2),"")</f>
        <v>0.8310000000000001</v>
      </c>
      <c r="K5" s="12">
        <f>IFERROR((K4/K2),"")</f>
        <v>0.8310000000000001</v>
      </c>
      <c r="L5" s="12">
        <f>IFERROR((L4/L2),"")</f>
        <v>0.831</v>
      </c>
      <c r="M5" s="12">
        <f>IFERROR((M4/M2),"")</f>
        <v>0.831</v>
      </c>
    </row>
    <row r="6">
      <c r="A6" s="0" t="inlineStr">
        <is>
          <t xml:space="preserve">Sales</t>
        </is>
      </c>
      <c r="B6" s="8">
        <f>SUM('P&amp;L by entity'!C10:C11)</f>
        <v>-849341</v>
      </c>
      <c r="C6" s="8">
        <f>SUM('P&amp;L by entity'!D10:D11)</f>
        <v>-867858</v>
      </c>
      <c r="D6" s="8">
        <f>SUM('P&amp;L by entity'!E10:E11)</f>
        <v>-863615</v>
      </c>
      <c r="E6" s="8">
        <f>SUM('P&amp;L by entity'!F10:F11)</f>
        <v>-886420</v>
      </c>
      <c r="F6" s="8">
        <f>SUM('P&amp;L by entity'!G10:G11)</f>
        <v>-936465</v>
      </c>
      <c r="G6" s="8">
        <f>SUM('P&amp;L by entity'!H10:H11)</f>
        <v>-929182</v>
      </c>
      <c r="H6" s="8">
        <f>SUM('P&amp;L by entity'!I10:I11)</f>
        <v>-923299</v>
      </c>
      <c r="I6" s="8">
        <f>SUM('P&amp;L by entity'!J10:J11)</f>
        <v>-920764</v>
      </c>
      <c r="J6" s="8">
        <f>SUM('P&amp;L by entity'!K10:K11)</f>
        <v>-1034632.2342979999</v>
      </c>
      <c r="K6" s="8">
        <f>SUM('P&amp;L by entity'!L10:L11)</f>
        <v>-1057647.502135662</v>
      </c>
      <c r="L6" s="8">
        <f>SUM('P&amp;L by entity'!M10:M11)</f>
        <v>-1064084.9519395556</v>
      </c>
      <c r="M6" s="8">
        <f>SUM('P&amp;L by entity'!N10:N11)</f>
        <v>-1087331.7299633028</v>
      </c>
    </row>
    <row r="7">
      <c r="A7" s="0" t="inlineStr">
        <is>
          <t xml:space="preserve">Marketing</t>
        </is>
      </c>
      <c r="B7" s="8">
        <f>SUM('P&amp;L by entity'!C12:C13)</f>
        <v>-683393</v>
      </c>
      <c r="C7" s="8">
        <f>SUM('P&amp;L by entity'!D12:D13)</f>
        <v>-705740</v>
      </c>
      <c r="D7" s="8">
        <f>SUM('P&amp;L by entity'!E12:E13)</f>
        <v>-788776</v>
      </c>
      <c r="E7" s="8">
        <f>SUM('P&amp;L by entity'!F12:F13)</f>
        <v>-747374</v>
      </c>
      <c r="F7" s="8">
        <f>SUM('P&amp;L by entity'!G12:G13)</f>
        <v>-783071</v>
      </c>
      <c r="G7" s="8">
        <f>SUM('P&amp;L by entity'!H12:H13)</f>
        <v>-786388</v>
      </c>
      <c r="H7" s="8">
        <f>SUM('P&amp;L by entity'!I12:I13)</f>
        <v>-783573</v>
      </c>
      <c r="I7" s="8">
        <f>SUM('P&amp;L by entity'!J12:J13)</f>
        <v>-767728</v>
      </c>
      <c r="J7" s="8">
        <f>SUM('P&amp;L by entity'!K12:K13)</f>
        <v>-813450.2337886665</v>
      </c>
      <c r="K7" s="8">
        <f>SUM('P&amp;L by entity'!L12:L13)</f>
        <v>-838259.1978193179</v>
      </c>
      <c r="L7" s="8">
        <f>SUM('P&amp;L by entity'!M12:M13)</f>
        <v>-849104.2313394169</v>
      </c>
      <c r="M7" s="8">
        <f>SUM('P&amp;L by entity'!N12:N13)</f>
        <v>-860152.4391509669</v>
      </c>
    </row>
    <row r="8">
      <c r="A8" s="0" t="inlineStr">
        <is>
          <t xml:space="preserve">Engineering</t>
        </is>
      </c>
      <c r="B8" s="8">
        <f>SUM('P&amp;L by entity'!C14:C15)</f>
        <v>-1600623</v>
      </c>
      <c r="C8" s="8">
        <f>SUM('P&amp;L by entity'!D14:D15)</f>
        <v>-1720715</v>
      </c>
      <c r="D8" s="8">
        <f>SUM('P&amp;L by entity'!E14:E15)</f>
        <v>-1799591</v>
      </c>
      <c r="E8" s="8">
        <f>SUM('P&amp;L by entity'!F14:F15)</f>
        <v>-1815438</v>
      </c>
      <c r="F8" s="8">
        <f>SUM('P&amp;L by entity'!G14:G15)</f>
        <v>-1777277</v>
      </c>
      <c r="G8" s="8">
        <f>SUM('P&amp;L by entity'!H14:H15)</f>
        <v>-1978006</v>
      </c>
      <c r="H8" s="8">
        <f>SUM('P&amp;L by entity'!I14:I15)</f>
        <v>-1935577</v>
      </c>
      <c r="I8" s="8">
        <f>SUM('P&amp;L by entity'!J14:J15)</f>
        <v>-1923389</v>
      </c>
      <c r="J8" s="8">
        <f>SUM('P&amp;L by entity'!K14:K15)</f>
        <v>-2117921.850592667</v>
      </c>
      <c r="K8" s="8">
        <f>SUM('P&amp;L by entity'!L14:L15)</f>
        <v>-2149044.291967927</v>
      </c>
      <c r="L8" s="8">
        <f>SUM('P&amp;L by entity'!M14:M15)</f>
        <v>-2196772.464309935</v>
      </c>
      <c r="M8" s="8">
        <f>SUM('P&amp;L by entity'!N14:N15)</f>
        <v>-2228332.429204542</v>
      </c>
    </row>
    <row r="9">
      <c r="A9" s="0" t="inlineStr">
        <is>
          <t xml:space="preserve">Customer success</t>
        </is>
      </c>
      <c r="B9" s="8">
        <f>SUM('P&amp;L by entity'!C16:C17)</f>
        <v>-183354</v>
      </c>
      <c r="C9" s="8">
        <f>SUM('P&amp;L by entity'!D16:D17)</f>
        <v>-216793</v>
      </c>
      <c r="D9" s="8">
        <f>SUM('P&amp;L by entity'!E16:E17)</f>
        <v>-212232</v>
      </c>
      <c r="E9" s="8">
        <f>SUM('P&amp;L by entity'!F16:F17)</f>
        <v>-214549</v>
      </c>
      <c r="F9" s="8">
        <f>SUM('P&amp;L by entity'!G16:G17)</f>
        <v>-225075</v>
      </c>
      <c r="G9" s="8">
        <f>SUM('P&amp;L by entity'!H16:H17)</f>
        <v>-229633</v>
      </c>
      <c r="H9" s="8">
        <f>SUM('P&amp;L by entity'!I16:I17)</f>
        <v>-234078</v>
      </c>
      <c r="I9" s="8">
        <f>SUM('P&amp;L by entity'!J16:J17)</f>
        <v>-250217</v>
      </c>
      <c r="J9" s="8">
        <f>SUM('P&amp;L by entity'!K16:K17)</f>
        <v>-239775.18800000002</v>
      </c>
      <c r="K9" s="8">
        <f>SUM('P&amp;L by entity'!L16:L17)</f>
        <v>-250998.2744613333</v>
      </c>
      <c r="L9" s="8">
        <f>SUM('P&amp;L by entity'!M16:M17)</f>
        <v>-251093.5961081013</v>
      </c>
      <c r="M9" s="8">
        <f>SUM('P&amp;L by entity'!N16:N17)</f>
        <v>-251189.48968474992</v>
      </c>
    </row>
    <row r="10">
      <c r="A10" s="0" t="inlineStr">
        <is>
          <t xml:space="preserve">G&amp;A</t>
        </is>
      </c>
      <c r="B10" s="8">
        <f>SUM('P&amp;L by entity'!C18:C19)</f>
        <v>-387726</v>
      </c>
      <c r="C10" s="8">
        <f>SUM('P&amp;L by entity'!D18:D19)</f>
        <v>-409294</v>
      </c>
      <c r="D10" s="8">
        <f>SUM('P&amp;L by entity'!E18:E19)</f>
        <v>-403582</v>
      </c>
      <c r="E10" s="8">
        <f>SUM('P&amp;L by entity'!F18:F19)</f>
        <v>-422121</v>
      </c>
      <c r="F10" s="8">
        <f>SUM('P&amp;L by entity'!G18:G19)</f>
        <v>-420311</v>
      </c>
      <c r="G10" s="8">
        <f>SUM('P&amp;L by entity'!H18:H19)</f>
        <v>-420183</v>
      </c>
      <c r="H10" s="8">
        <f>SUM('P&amp;L by entity'!I18:I19)</f>
        <v>-439279</v>
      </c>
      <c r="I10" s="8">
        <f>SUM('P&amp;L by entity'!J18:J19)</f>
        <v>-419308</v>
      </c>
      <c r="J10" s="8">
        <f>SUM('P&amp;L by entity'!K18:K19)</f>
        <v>-449712.6026666667</v>
      </c>
      <c r="K10" s="8">
        <f>SUM('P&amp;L by entity'!L18:L19)</f>
        <v>-450929.7982826667</v>
      </c>
      <c r="L10" s="8">
        <f>SUM('P&amp;L by entity'!M18:M19)</f>
        <v>-452154.2970723627</v>
      </c>
      <c r="M10" s="8">
        <f>SUM('P&amp;L by entity'!N18:N19)</f>
        <v>-453386.1428547968</v>
      </c>
    </row>
    <row r="11">
      <c r="A11" s="0" t="inlineStr">
        <is>
          <t xml:space="preserve">Total operating expenses</t>
        </is>
      </c>
      <c r="B11" s="8">
        <f>SUM('P&amp;L by entity'!C20:C21)</f>
        <v>-3704437</v>
      </c>
      <c r="C11" s="8">
        <f>SUM('P&amp;L by entity'!D20:D21)</f>
        <v>-3920400</v>
      </c>
      <c r="D11" s="8">
        <f>SUM('P&amp;L by entity'!E20:E21)</f>
        <v>-4067796</v>
      </c>
      <c r="E11" s="8">
        <f>SUM('P&amp;L by entity'!F20:F21)</f>
        <v>-4085902</v>
      </c>
      <c r="F11" s="8">
        <f>SUM('P&amp;L by entity'!G20:G21)</f>
        <v>-4142199</v>
      </c>
      <c r="G11" s="8">
        <f>SUM('P&amp;L by entity'!H20:H21)</f>
        <v>-4343392</v>
      </c>
      <c r="H11" s="8">
        <f>SUM('P&amp;L by entity'!I20:I21)</f>
        <v>-4315806</v>
      </c>
      <c r="I11" s="8">
        <f>SUM('P&amp;L by entity'!J20:J21)</f>
        <v>-4281406</v>
      </c>
      <c r="J11" s="8">
        <f>SUM('P&amp;L by entity'!K20:K21)</f>
        <v>-4655492.109346</v>
      </c>
      <c r="K11" s="8">
        <f>SUM('P&amp;L by entity'!L20:L21)</f>
        <v>-4746879.064666907</v>
      </c>
      <c r="L11" s="8">
        <f>SUM('P&amp;L by entity'!M20:M21)</f>
        <v>-4813209.540769371</v>
      </c>
      <c r="M11" s="8">
        <f>SUM('P&amp;L by entity'!N20:N21)</f>
        <v>-4880392.230858359</v>
      </c>
    </row>
    <row r="12">
      <c r="A12" s="0" t="inlineStr">
        <is>
          <t xml:space="preserve">EBITDA</t>
        </is>
      </c>
      <c r="B12" s="8">
        <f>SUM('P&amp;L by entity'!C22:C23)</f>
        <v>1114770</v>
      </c>
      <c r="C12" s="8">
        <f>SUM('P&amp;L by entity'!D22:D23)</f>
        <v>1098983</v>
      </c>
      <c r="D12" s="8">
        <f>SUM('P&amp;L by entity'!E22:E23)</f>
        <v>1060817</v>
      </c>
      <c r="E12" s="8">
        <f>SUM('P&amp;L by entity'!F22:F23)</f>
        <v>1134665</v>
      </c>
      <c r="F12" s="8">
        <f>SUM('P&amp;L by entity'!G22:G23)</f>
        <v>1065491</v>
      </c>
      <c r="G12" s="8">
        <f>SUM('P&amp;L by entity'!H22:H23)</f>
        <v>1219008</v>
      </c>
      <c r="H12" s="8">
        <f>SUM('P&amp;L by entity'!I22:I23)</f>
        <v>968523</v>
      </c>
      <c r="I12" s="8">
        <f>SUM('P&amp;L by entity'!J22:J23)</f>
        <v>1072970</v>
      </c>
      <c r="J12" s="8">
        <f>SUM('P&amp;L by entity'!K22:K23)</f>
        <v>838124.3520080002</v>
      </c>
      <c r="K12" s="8">
        <f>SUM('P&amp;L by entity'!L22:L23)</f>
        <v>851116.1094528183</v>
      </c>
      <c r="L12" s="8">
        <f>SUM('P&amp;L by entity'!M22:M23)</f>
        <v>891147.5416586283</v>
      </c>
      <c r="M12" s="8">
        <f>SUM('P&amp;L by entity'!N22:N23)</f>
        <v>932347.6361357728</v>
      </c>
    </row>
    <row r="13">
      <c r="A13" s="0" t="inlineStr">
        <is>
          <t xml:space="preserve">EBITDA margin</t>
        </is>
      </c>
      <c r="B13" s="12">
        <f>IFERROR((B12/B2),"")</f>
        <v>0.19202370492045565</v>
      </c>
      <c r="C13" s="12">
        <f>IFERROR((C12/C2),"")</f>
        <v>0.1840290458925974</v>
      </c>
      <c r="D13" s="12">
        <f>IFERROR((D12/D2),"")</f>
        <v>0.17211555310380633</v>
      </c>
      <c r="E13" s="12">
        <f>IFERROR((E12/E2),"")</f>
        <v>0.1798617714814793</v>
      </c>
      <c r="F13" s="12">
        <f>IFERROR((F12/F2),"")</f>
        <v>0.1690183496309325</v>
      </c>
      <c r="G13" s="12">
        <f>IFERROR((G12/G2),"")</f>
        <v>0.18200234108119728</v>
      </c>
      <c r="H13" s="12">
        <f>IFERROR((H12/H2),"")</f>
        <v>0.15239493535288148</v>
      </c>
      <c r="I13" s="12">
        <f>IFERROR((I12/I2),"")</f>
        <v>0.16538817365966324</v>
      </c>
      <c r="J13" s="12">
        <f>IFERROR((J12/J2),"")</f>
        <v>0.12678011678066584</v>
      </c>
      <c r="K13" s="12">
        <f>IFERROR((K12/K2),"")</f>
        <v>0.1263447832583225</v>
      </c>
      <c r="L13" s="12">
        <f>IFERROR((L12/L2),"")</f>
        <v>0.12982069607800842</v>
      </c>
      <c r="M13" s="12">
        <f>IFERROR((M12/M2),"")</f>
        <v>0.13329013569456014</v>
      </c>
    </row>
    <row r="14">
      <c r="A14" s="0" t="inlineStr">
        <is>
          <t xml:space="preserve">Headcount (period end)</t>
        </is>
      </c>
      <c r="B14" s="4">
        <f>SUM('P&amp;L by entity'!C26:C27)</f>
        <v>131</v>
      </c>
      <c r="C14" s="4">
        <f>SUM('P&amp;L by entity'!D26:D27)</f>
        <v>134</v>
      </c>
      <c r="D14" s="4">
        <f>SUM('P&amp;L by entity'!E26:E27)</f>
        <v>140</v>
      </c>
      <c r="E14" s="4">
        <f>SUM('P&amp;L by entity'!F26:F27)</f>
        <v>143</v>
      </c>
      <c r="F14" s="4">
        <f>SUM('P&amp;L by entity'!G26:G27)</f>
        <v>147</v>
      </c>
      <c r="G14" s="4">
        <f>SUM('P&amp;L by entity'!H26:H27)</f>
        <v>150</v>
      </c>
      <c r="H14" s="4">
        <f>SUM('P&amp;L by entity'!I26:I27)</f>
        <v>154</v>
      </c>
      <c r="I14" s="4">
        <f>SUM('P&amp;L by entity'!J26:J27)</f>
        <v>157</v>
      </c>
      <c r="J14" s="4">
        <f>SUM('P&amp;L by entity'!K26:K27)</f>
        <v>173</v>
      </c>
      <c r="K14" s="4">
        <f>SUM('P&amp;L by entity'!L26:L27)</f>
        <v>177</v>
      </c>
      <c r="L14" s="4">
        <f>SUM('P&amp;L by entity'!M26:M27)</f>
        <v>179</v>
      </c>
      <c r="M14" s="4">
        <f>SUM('P&amp;L by entity'!N26:N27)</f>
        <v>181</v>
      </c>
    </row>
  </sheetData>
</worksheet>
</file>

<file path=xl/worksheets/sheet10.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s>
  <sheetData>
    <row r="1">
      <c r="A1" s="1" t="inlineStr">
        <is>
          <t xml:space="preserve">line</t>
        </is>
      </c>
      <c r="B1" s="1" t="inlineStr">
        <is>
          <t xml:space="preserve">subsidiary</t>
        </is>
      </c>
      <c r="C1" s="1" t="inlineStr">
        <is>
          <t xml:space="preserve">department</t>
        </is>
      </c>
      <c r="D1" s="1" t="inlineStr">
        <is>
          <t xml:space="preserve">YTD actual</t>
        </is>
      </c>
      <c r="E1" s="1" t="inlineStr">
        <is>
          <t xml:space="preserve">YTD budget</t>
        </is>
      </c>
      <c r="F1" s="1" t="inlineStr">
        <is>
          <t xml:space="preserve">YTD variance</t>
        </is>
      </c>
      <c r="G1" s="1" t="inlineStr">
        <is>
          <t xml:space="preserve">FY outlook</t>
        </is>
      </c>
      <c r="H1" s="1" t="inlineStr">
        <is>
          <t xml:space="preserve">FY budget</t>
        </is>
      </c>
      <c r="I1" s="1" t="inlineStr">
        <is>
          <t xml:space="preserve">FY variance</t>
        </is>
      </c>
      <c r="J1" s="1" t="inlineStr">
        <is>
          <t xml:space="preserve">FY variance %</t>
        </is>
      </c>
    </row>
    <row r="2">
      <c r="A2" s="0" t="inlineStr">
        <is>
          <t xml:space="preserve">Revenue</t>
        </is>
      </c>
      <c r="B2" s="0" t="inlineStr">
        <is>
          <t xml:space="preserve">United States</t>
        </is>
      </c>
      <c r="C2" s="0" t="inlineStr">
        <is>
          <t xml:space="preserve">Company (revenue and cost of revenue)</t>
        </is>
      </c>
      <c r="D2" s="12">
        <f>SUM('Outlook actuals from the ledger'!D2:K2)</f>
        <v>35307371</v>
      </c>
      <c r="E2" s="12">
        <f>SUM('Budget (annual operating plan)'!D2:K2)</f>
        <v>35992000</v>
      </c>
      <c r="F2" s="12">
        <f>(D2-E2)</f>
        <v>-684629</v>
      </c>
      <c r="G2" s="12">
        <f>SUM('Outlook actuals from the ledger'!D2:O2)</f>
        <v>54363446.43350236</v>
      </c>
      <c r="H2" s="12">
        <f>SUM('Budget (annual operating plan)'!D2:O2)</f>
        <v>57269100</v>
      </c>
      <c r="I2" s="12">
        <f>(G2-H2)</f>
        <v>-2905653.566497639</v>
      </c>
      <c r="J2" s="12">
        <f>IFERROR((I2/ABS(H2)),"")</f>
        <v>-0.05073684703439794</v>
      </c>
    </row>
    <row r="3">
      <c r="A3" s="0" t="inlineStr">
        <is>
          <t xml:space="preserve">Revenue</t>
        </is>
      </c>
      <c r="B3" s="0" t="inlineStr">
        <is>
          <t xml:space="preserve">United States</t>
        </is>
      </c>
      <c r="C3" s="0" t="inlineStr">
        <is>
          <t xml:space="preserve">Sales</t>
        </is>
      </c>
      <c r="D3" s="12">
        <f>SUM('Outlook actuals from the ledger'!D3:K3)</f>
        <v>0</v>
      </c>
      <c r="E3" s="12">
        <f>SUM('Budget (annual operating plan)'!D3:K3)</f>
        <v>0</v>
      </c>
      <c r="F3" s="12">
        <f>(D3-E3)</f>
        <v>0</v>
      </c>
      <c r="G3" s="12">
        <f>SUM('Outlook actuals from the ledger'!D3:O3)</f>
        <v>0</v>
      </c>
      <c r="H3" s="12">
        <f>SUM('Budget (annual operating plan)'!D3:O3)</f>
        <v>0</v>
      </c>
      <c r="I3" s="12">
        <f>(G3-H3)</f>
        <v>0</v>
      </c>
      <c r="J3" s="12">
        <f>IFERROR((I3/ABS(H3)),"")</f>
      </c>
    </row>
    <row r="4">
      <c r="A4" s="0" t="inlineStr">
        <is>
          <t xml:space="preserve">Revenue</t>
        </is>
      </c>
      <c r="B4" s="0" t="inlineStr">
        <is>
          <t xml:space="preserve">United States</t>
        </is>
      </c>
      <c r="C4" s="0" t="inlineStr">
        <is>
          <t xml:space="preserve">Marketing</t>
        </is>
      </c>
      <c r="D4" s="12">
        <f>SUM('Outlook actuals from the ledger'!D4:K4)</f>
        <v>0</v>
      </c>
      <c r="E4" s="12">
        <f>SUM('Budget (annual operating plan)'!D4:K4)</f>
        <v>0</v>
      </c>
      <c r="F4" s="12">
        <f>(D4-E4)</f>
        <v>0</v>
      </c>
      <c r="G4" s="12">
        <f>SUM('Outlook actuals from the ledger'!D4:O4)</f>
        <v>0</v>
      </c>
      <c r="H4" s="12">
        <f>SUM('Budget (annual operating plan)'!D4:O4)</f>
        <v>0</v>
      </c>
      <c r="I4" s="12">
        <f>(G4-H4)</f>
        <v>0</v>
      </c>
      <c r="J4" s="12">
        <f>IFERROR((I4/ABS(H4)),"")</f>
      </c>
    </row>
    <row r="5">
      <c r="A5" s="0" t="inlineStr">
        <is>
          <t xml:space="preserve">Revenue</t>
        </is>
      </c>
      <c r="B5" s="0" t="inlineStr">
        <is>
          <t xml:space="preserve">United States</t>
        </is>
      </c>
      <c r="C5" s="0" t="inlineStr">
        <is>
          <t xml:space="preserve">Engineering</t>
        </is>
      </c>
      <c r="D5" s="12">
        <f>SUM('Outlook actuals from the ledger'!D5:K5)</f>
        <v>0</v>
      </c>
      <c r="E5" s="12">
        <f>SUM('Budget (annual operating plan)'!D5:K5)</f>
        <v>0</v>
      </c>
      <c r="F5" s="12">
        <f>(D5-E5)</f>
        <v>0</v>
      </c>
      <c r="G5" s="12">
        <f>SUM('Outlook actuals from the ledger'!D5:O5)</f>
        <v>0</v>
      </c>
      <c r="H5" s="12">
        <f>SUM('Budget (annual operating plan)'!D5:O5)</f>
        <v>0</v>
      </c>
      <c r="I5" s="12">
        <f>(G5-H5)</f>
        <v>0</v>
      </c>
      <c r="J5" s="12">
        <f>IFERROR((I5/ABS(H5)),"")</f>
      </c>
    </row>
    <row r="6">
      <c r="A6" s="0" t="inlineStr">
        <is>
          <t xml:space="preserve">Revenue</t>
        </is>
      </c>
      <c r="B6" s="0" t="inlineStr">
        <is>
          <t xml:space="preserve">United States</t>
        </is>
      </c>
      <c r="C6" s="0" t="inlineStr">
        <is>
          <t xml:space="preserve">Customer success</t>
        </is>
      </c>
      <c r="D6" s="12">
        <f>SUM('Outlook actuals from the ledger'!D6:K6)</f>
        <v>0</v>
      </c>
      <c r="E6" s="12">
        <f>SUM('Budget (annual operating plan)'!D6:K6)</f>
        <v>0</v>
      </c>
      <c r="F6" s="12">
        <f>(D6-E6)</f>
        <v>0</v>
      </c>
      <c r="G6" s="12">
        <f>SUM('Outlook actuals from the ledger'!D6:O6)</f>
        <v>0</v>
      </c>
      <c r="H6" s="12">
        <f>SUM('Budget (annual operating plan)'!D6:O6)</f>
        <v>0</v>
      </c>
      <c r="I6" s="12">
        <f>(G6-H6)</f>
        <v>0</v>
      </c>
      <c r="J6" s="12">
        <f>IFERROR((I6/ABS(H6)),"")</f>
      </c>
    </row>
    <row r="7">
      <c r="A7" s="0" t="inlineStr">
        <is>
          <t xml:space="preserve">Revenue</t>
        </is>
      </c>
      <c r="B7" s="0" t="inlineStr">
        <is>
          <t xml:space="preserve">United States</t>
        </is>
      </c>
      <c r="C7" s="0" t="inlineStr">
        <is>
          <t xml:space="preserve">G&amp;A</t>
        </is>
      </c>
      <c r="D7" s="12">
        <f>SUM('Outlook actuals from the ledger'!D7:K7)</f>
        <v>0</v>
      </c>
      <c r="E7" s="12">
        <f>SUM('Budget (annual operating plan)'!D7:K7)</f>
        <v>0</v>
      </c>
      <c r="F7" s="12">
        <f>(D7-E7)</f>
        <v>0</v>
      </c>
      <c r="G7" s="12">
        <f>SUM('Outlook actuals from the ledger'!D7:O7)</f>
        <v>0</v>
      </c>
      <c r="H7" s="12">
        <f>SUM('Budget (annual operating plan)'!D7:O7)</f>
        <v>0</v>
      </c>
      <c r="I7" s="12">
        <f>(G7-H7)</f>
        <v>0</v>
      </c>
      <c r="J7" s="12">
        <f>IFERROR((I7/ABS(H7)),"")</f>
      </c>
    </row>
    <row r="8">
      <c r="A8" s="0" t="inlineStr">
        <is>
          <t xml:space="preserve">Revenue</t>
        </is>
      </c>
      <c r="B8" s="0" t="inlineStr">
        <is>
          <t xml:space="preserve">United Kingdom</t>
        </is>
      </c>
      <c r="C8" s="0" t="inlineStr">
        <is>
          <t xml:space="preserve">Company (revenue and cost of revenue)</t>
        </is>
      </c>
      <c r="D8" s="12">
        <f>SUM('Outlook actuals from the ledger'!D8:K8)</f>
        <v>14786427</v>
      </c>
      <c r="E8" s="12">
        <f>SUM('Budget (annual operating plan)'!D8:K8)</f>
        <v>15116500</v>
      </c>
      <c r="F8" s="12">
        <f>(D8-E8)</f>
        <v>-330073</v>
      </c>
      <c r="G8" s="12">
        <f>SUM('Outlook actuals from the ledger'!D8:O8)</f>
        <v>22936980.429188203</v>
      </c>
      <c r="H8" s="12">
        <f>SUM('Budget (annual operating plan)'!D8:O8)</f>
        <v>24052900</v>
      </c>
      <c r="I8" s="12">
        <f>(G8-H8)</f>
        <v>-1115919.570811797</v>
      </c>
      <c r="J8" s="12">
        <f>IFERROR((I8/ABS(H8)),"")</f>
        <v>-0.046394387820670145</v>
      </c>
    </row>
    <row r="9">
      <c r="A9" s="0" t="inlineStr">
        <is>
          <t xml:space="preserve">Revenue</t>
        </is>
      </c>
      <c r="B9" s="0" t="inlineStr">
        <is>
          <t xml:space="preserve">United Kingdom</t>
        </is>
      </c>
      <c r="C9" s="0" t="inlineStr">
        <is>
          <t xml:space="preserve">Sales</t>
        </is>
      </c>
      <c r="D9" s="12">
        <f>SUM('Outlook actuals from the ledger'!D9:K9)</f>
        <v>0</v>
      </c>
      <c r="E9" s="12">
        <f>SUM('Budget (annual operating plan)'!D9:K9)</f>
        <v>0</v>
      </c>
      <c r="F9" s="12">
        <f>(D9-E9)</f>
        <v>0</v>
      </c>
      <c r="G9" s="12">
        <f>SUM('Outlook actuals from the ledger'!D9:O9)</f>
        <v>0</v>
      </c>
      <c r="H9" s="12">
        <f>SUM('Budget (annual operating plan)'!D9:O9)</f>
        <v>0</v>
      </c>
      <c r="I9" s="12">
        <f>(G9-H9)</f>
        <v>0</v>
      </c>
      <c r="J9" s="12">
        <f>IFERROR((I9/ABS(H9)),"")</f>
      </c>
    </row>
    <row r="10">
      <c r="A10" s="0" t="inlineStr">
        <is>
          <t xml:space="preserve">Revenue</t>
        </is>
      </c>
      <c r="B10" s="0" t="inlineStr">
        <is>
          <t xml:space="preserve">United Kingdom</t>
        </is>
      </c>
      <c r="C10" s="0" t="inlineStr">
        <is>
          <t xml:space="preserve">Marketing</t>
        </is>
      </c>
      <c r="D10" s="12">
        <f>SUM('Outlook actuals from the ledger'!D10:K10)</f>
        <v>0</v>
      </c>
      <c r="E10" s="12">
        <f>SUM('Budget (annual operating plan)'!D10:K10)</f>
        <v>0</v>
      </c>
      <c r="F10" s="12">
        <f>(D10-E10)</f>
        <v>0</v>
      </c>
      <c r="G10" s="12">
        <f>SUM('Outlook actuals from the ledger'!D10:O10)</f>
        <v>0</v>
      </c>
      <c r="H10" s="12">
        <f>SUM('Budget (annual operating plan)'!D10:O10)</f>
        <v>0</v>
      </c>
      <c r="I10" s="12">
        <f>(G10-H10)</f>
        <v>0</v>
      </c>
      <c r="J10" s="12">
        <f>IFERROR((I10/ABS(H10)),"")</f>
      </c>
    </row>
    <row r="11">
      <c r="A11" s="0" t="inlineStr">
        <is>
          <t xml:space="preserve">Revenue</t>
        </is>
      </c>
      <c r="B11" s="0" t="inlineStr">
        <is>
          <t xml:space="preserve">United Kingdom</t>
        </is>
      </c>
      <c r="C11" s="0" t="inlineStr">
        <is>
          <t xml:space="preserve">Engineering</t>
        </is>
      </c>
      <c r="D11" s="12">
        <f>SUM('Outlook actuals from the ledger'!D11:K11)</f>
        <v>0</v>
      </c>
      <c r="E11" s="12">
        <f>SUM('Budget (annual operating plan)'!D11:K11)</f>
        <v>0</v>
      </c>
      <c r="F11" s="12">
        <f>(D11-E11)</f>
        <v>0</v>
      </c>
      <c r="G11" s="12">
        <f>SUM('Outlook actuals from the ledger'!D11:O11)</f>
        <v>0</v>
      </c>
      <c r="H11" s="12">
        <f>SUM('Budget (annual operating plan)'!D11:O11)</f>
        <v>0</v>
      </c>
      <c r="I11" s="12">
        <f>(G11-H11)</f>
        <v>0</v>
      </c>
      <c r="J11" s="12">
        <f>IFERROR((I11/ABS(H11)),"")</f>
      </c>
    </row>
    <row r="12">
      <c r="A12" s="0" t="inlineStr">
        <is>
          <t xml:space="preserve">Revenue</t>
        </is>
      </c>
      <c r="B12" s="0" t="inlineStr">
        <is>
          <t xml:space="preserve">United Kingdom</t>
        </is>
      </c>
      <c r="C12" s="0" t="inlineStr">
        <is>
          <t xml:space="preserve">Customer success</t>
        </is>
      </c>
      <c r="D12" s="12">
        <f>SUM('Outlook actuals from the ledger'!D12:K12)</f>
        <v>0</v>
      </c>
      <c r="E12" s="12">
        <f>SUM('Budget (annual operating plan)'!D12:K12)</f>
        <v>0</v>
      </c>
      <c r="F12" s="12">
        <f>(D12-E12)</f>
        <v>0</v>
      </c>
      <c r="G12" s="12">
        <f>SUM('Outlook actuals from the ledger'!D12:O12)</f>
        <v>0</v>
      </c>
      <c r="H12" s="12">
        <f>SUM('Budget (annual operating plan)'!D12:O12)</f>
        <v>0</v>
      </c>
      <c r="I12" s="12">
        <f>(G12-H12)</f>
        <v>0</v>
      </c>
      <c r="J12" s="12">
        <f>IFERROR((I12/ABS(H12)),"")</f>
      </c>
    </row>
    <row r="13">
      <c r="A13" s="0" t="inlineStr">
        <is>
          <t xml:space="preserve">Revenue</t>
        </is>
      </c>
      <c r="B13" s="0" t="inlineStr">
        <is>
          <t xml:space="preserve">United Kingdom</t>
        </is>
      </c>
      <c r="C13" s="0" t="inlineStr">
        <is>
          <t xml:space="preserve">G&amp;A</t>
        </is>
      </c>
      <c r="D13" s="12">
        <f>SUM('Outlook actuals from the ledger'!D13:K13)</f>
        <v>0</v>
      </c>
      <c r="E13" s="12">
        <f>SUM('Budget (annual operating plan)'!D13:K13)</f>
        <v>0</v>
      </c>
      <c r="F13" s="12">
        <f>(D13-E13)</f>
        <v>0</v>
      </c>
      <c r="G13" s="12">
        <f>SUM('Outlook actuals from the ledger'!D13:O13)</f>
        <v>0</v>
      </c>
      <c r="H13" s="12">
        <f>SUM('Budget (annual operating plan)'!D13:O13)</f>
        <v>0</v>
      </c>
      <c r="I13" s="12">
        <f>(G13-H13)</f>
        <v>0</v>
      </c>
      <c r="J13" s="12">
        <f>IFERROR((I13/ABS(H13)),"")</f>
      </c>
    </row>
    <row r="14">
      <c r="A14" s="0" t="inlineStr">
        <is>
          <t xml:space="preserve">Cost of revenue: hosting</t>
        </is>
      </c>
      <c r="B14" s="0" t="inlineStr">
        <is>
          <t xml:space="preserve">United States</t>
        </is>
      </c>
      <c r="C14" s="0" t="inlineStr">
        <is>
          <t xml:space="preserve">Company (revenue and cost of revenue)</t>
        </is>
      </c>
      <c r="D14" s="12">
        <f>SUM('Outlook actuals from the ledger'!D14:K14)</f>
        <v>-4168821</v>
      </c>
      <c r="E14" s="12">
        <f>SUM('Budget (annual operating plan)'!D14:K14)</f>
        <v>-3959100</v>
      </c>
      <c r="F14" s="12">
        <f>(D14-E14)</f>
        <v>-209721</v>
      </c>
      <c r="G14" s="12">
        <f>SUM('Outlook actuals from the ledger'!D14:O14)</f>
        <v>-6417437.901153278</v>
      </c>
      <c r="H14" s="12">
        <f>SUM('Budget (annual operating plan)'!D14:O14)</f>
        <v>-6299600</v>
      </c>
      <c r="I14" s="12">
        <f>(G14-H14)</f>
        <v>-117837.9011532776</v>
      </c>
      <c r="J14" s="12">
        <f>IFERROR((I14/ABS(H14)),"")</f>
        <v>-0.018705616412673442</v>
      </c>
    </row>
    <row r="15">
      <c r="A15" s="0" t="inlineStr">
        <is>
          <t xml:space="preserve">Cost of revenue: hosting</t>
        </is>
      </c>
      <c r="B15" s="0" t="inlineStr">
        <is>
          <t xml:space="preserve">United States</t>
        </is>
      </c>
      <c r="C15" s="0" t="inlineStr">
        <is>
          <t xml:space="preserve">Sales</t>
        </is>
      </c>
      <c r="D15" s="12">
        <f>SUM('Outlook actuals from the ledger'!D15:K15)</f>
        <v>0</v>
      </c>
      <c r="E15" s="12">
        <f>SUM('Budget (annual operating plan)'!D15:K15)</f>
        <v>0</v>
      </c>
      <c r="F15" s="12">
        <f>(D15-E15)</f>
        <v>0</v>
      </c>
      <c r="G15" s="12">
        <f>SUM('Outlook actuals from the ledger'!D15:O15)</f>
        <v>0</v>
      </c>
      <c r="H15" s="12">
        <f>SUM('Budget (annual operating plan)'!D15:O15)</f>
        <v>0</v>
      </c>
      <c r="I15" s="12">
        <f>(G15-H15)</f>
        <v>0</v>
      </c>
      <c r="J15" s="12">
        <f>IFERROR((I15/ABS(H15)),"")</f>
      </c>
    </row>
    <row r="16">
      <c r="A16" s="0" t="inlineStr">
        <is>
          <t xml:space="preserve">Cost of revenue: hosting</t>
        </is>
      </c>
      <c r="B16" s="0" t="inlineStr">
        <is>
          <t xml:space="preserve">United States</t>
        </is>
      </c>
      <c r="C16" s="0" t="inlineStr">
        <is>
          <t xml:space="preserve">Marketing</t>
        </is>
      </c>
      <c r="D16" s="12">
        <f>SUM('Outlook actuals from the ledger'!D16:K16)</f>
        <v>0</v>
      </c>
      <c r="E16" s="12">
        <f>SUM('Budget (annual operating plan)'!D16:K16)</f>
        <v>0</v>
      </c>
      <c r="F16" s="12">
        <f>(D16-E16)</f>
        <v>0</v>
      </c>
      <c r="G16" s="12">
        <f>SUM('Outlook actuals from the ledger'!D16:O16)</f>
        <v>0</v>
      </c>
      <c r="H16" s="12">
        <f>SUM('Budget (annual operating plan)'!D16:O16)</f>
        <v>0</v>
      </c>
      <c r="I16" s="12">
        <f>(G16-H16)</f>
        <v>0</v>
      </c>
      <c r="J16" s="12">
        <f>IFERROR((I16/ABS(H16)),"")</f>
      </c>
    </row>
    <row r="17">
      <c r="A17" s="0" t="inlineStr">
        <is>
          <t xml:space="preserve">Cost of revenue: hosting</t>
        </is>
      </c>
      <c r="B17" s="0" t="inlineStr">
        <is>
          <t xml:space="preserve">United States</t>
        </is>
      </c>
      <c r="C17" s="0" t="inlineStr">
        <is>
          <t xml:space="preserve">Engineering</t>
        </is>
      </c>
      <c r="D17" s="12">
        <f>SUM('Outlook actuals from the ledger'!D17:K17)</f>
        <v>0</v>
      </c>
      <c r="E17" s="12">
        <f>SUM('Budget (annual operating plan)'!D17:K17)</f>
        <v>0</v>
      </c>
      <c r="F17" s="12">
        <f>(D17-E17)</f>
        <v>0</v>
      </c>
      <c r="G17" s="12">
        <f>SUM('Outlook actuals from the ledger'!D17:O17)</f>
        <v>0</v>
      </c>
      <c r="H17" s="12">
        <f>SUM('Budget (annual operating plan)'!D17:O17)</f>
        <v>0</v>
      </c>
      <c r="I17" s="12">
        <f>(G17-H17)</f>
        <v>0</v>
      </c>
      <c r="J17" s="12">
        <f>IFERROR((I17/ABS(H17)),"")</f>
      </c>
    </row>
    <row r="18">
      <c r="A18" s="0" t="inlineStr">
        <is>
          <t xml:space="preserve">Cost of revenue: hosting</t>
        </is>
      </c>
      <c r="B18" s="0" t="inlineStr">
        <is>
          <t xml:space="preserve">United States</t>
        </is>
      </c>
      <c r="C18" s="0" t="inlineStr">
        <is>
          <t xml:space="preserve">Customer success</t>
        </is>
      </c>
      <c r="D18" s="12">
        <f>SUM('Outlook actuals from the ledger'!D18:K18)</f>
        <v>0</v>
      </c>
      <c r="E18" s="12">
        <f>SUM('Budget (annual operating plan)'!D18:K18)</f>
        <v>0</v>
      </c>
      <c r="F18" s="12">
        <f>(D18-E18)</f>
        <v>0</v>
      </c>
      <c r="G18" s="12">
        <f>SUM('Outlook actuals from the ledger'!D18:O18)</f>
        <v>0</v>
      </c>
      <c r="H18" s="12">
        <f>SUM('Budget (annual operating plan)'!D18:O18)</f>
        <v>0</v>
      </c>
      <c r="I18" s="12">
        <f>(G18-H18)</f>
        <v>0</v>
      </c>
      <c r="J18" s="12">
        <f>IFERROR((I18/ABS(H18)),"")</f>
      </c>
    </row>
    <row r="19">
      <c r="A19" s="0" t="inlineStr">
        <is>
          <t xml:space="preserve">Cost of revenue: hosting</t>
        </is>
      </c>
      <c r="B19" s="0" t="inlineStr">
        <is>
          <t xml:space="preserve">United States</t>
        </is>
      </c>
      <c r="C19" s="0" t="inlineStr">
        <is>
          <t xml:space="preserve">G&amp;A</t>
        </is>
      </c>
      <c r="D19" s="12">
        <f>SUM('Outlook actuals from the ledger'!D19:K19)</f>
        <v>0</v>
      </c>
      <c r="E19" s="12">
        <f>SUM('Budget (annual operating plan)'!D19:K19)</f>
        <v>0</v>
      </c>
      <c r="F19" s="12">
        <f>(D19-E19)</f>
        <v>0</v>
      </c>
      <c r="G19" s="12">
        <f>SUM('Outlook actuals from the ledger'!D19:O19)</f>
        <v>0</v>
      </c>
      <c r="H19" s="12">
        <f>SUM('Budget (annual operating plan)'!D19:O19)</f>
        <v>0</v>
      </c>
      <c r="I19" s="12">
        <f>(G19-H19)</f>
        <v>0</v>
      </c>
      <c r="J19" s="12">
        <f>IFERROR((I19/ABS(H19)),"")</f>
      </c>
    </row>
    <row r="20">
      <c r="A20" s="0" t="inlineStr">
        <is>
          <t xml:space="preserve">Cost of revenue: hosting</t>
        </is>
      </c>
      <c r="B20" s="0" t="inlineStr">
        <is>
          <t xml:space="preserve">United Kingdom</t>
        </is>
      </c>
      <c r="C20" s="0" t="inlineStr">
        <is>
          <t xml:space="preserve">Company (revenue and cost of revenue)</t>
        </is>
      </c>
      <c r="D20" s="12">
        <f>SUM('Outlook actuals from the ledger'!D20:K20)</f>
        <v>-1772891</v>
      </c>
      <c r="E20" s="12">
        <f>SUM('Budget (annual operating plan)'!D20:K20)</f>
        <v>-1662900</v>
      </c>
      <c r="F20" s="12">
        <f>(D20-E20)</f>
        <v>-109991</v>
      </c>
      <c r="G20" s="12">
        <f>SUM('Outlook actuals from the ledger'!D20:O20)</f>
        <v>-2734656.304644208</v>
      </c>
      <c r="H20" s="12">
        <f>SUM('Budget (annual operating plan)'!D20:O20)</f>
        <v>-2645800</v>
      </c>
      <c r="I20" s="12">
        <f>(G20-H20)</f>
        <v>-88856.30464420794</v>
      </c>
      <c r="J20" s="12">
        <f>IFERROR((I20/ABS(H20)),"")</f>
        <v>-0.033583908324214956</v>
      </c>
    </row>
    <row r="21">
      <c r="A21" s="0" t="inlineStr">
        <is>
          <t xml:space="preserve">Cost of revenue: hosting</t>
        </is>
      </c>
      <c r="B21" s="0" t="inlineStr">
        <is>
          <t xml:space="preserve">United Kingdom</t>
        </is>
      </c>
      <c r="C21" s="0" t="inlineStr">
        <is>
          <t xml:space="preserve">Sales</t>
        </is>
      </c>
      <c r="D21" s="12">
        <f>SUM('Outlook actuals from the ledger'!D21:K21)</f>
        <v>0</v>
      </c>
      <c r="E21" s="12">
        <f>SUM('Budget (annual operating plan)'!D21:K21)</f>
        <v>0</v>
      </c>
      <c r="F21" s="12">
        <f>(D21-E21)</f>
        <v>0</v>
      </c>
      <c r="G21" s="12">
        <f>SUM('Outlook actuals from the ledger'!D21:O21)</f>
        <v>0</v>
      </c>
      <c r="H21" s="12">
        <f>SUM('Budget (annual operating plan)'!D21:O21)</f>
        <v>0</v>
      </c>
      <c r="I21" s="12">
        <f>(G21-H21)</f>
        <v>0</v>
      </c>
      <c r="J21" s="12">
        <f>IFERROR((I21/ABS(H21)),"")</f>
      </c>
    </row>
    <row r="22">
      <c r="A22" s="0" t="inlineStr">
        <is>
          <t xml:space="preserve">Cost of revenue: hosting</t>
        </is>
      </c>
      <c r="B22" s="0" t="inlineStr">
        <is>
          <t xml:space="preserve">United Kingdom</t>
        </is>
      </c>
      <c r="C22" s="0" t="inlineStr">
        <is>
          <t xml:space="preserve">Marketing</t>
        </is>
      </c>
      <c r="D22" s="12">
        <f>SUM('Outlook actuals from the ledger'!D22:K22)</f>
        <v>0</v>
      </c>
      <c r="E22" s="12">
        <f>SUM('Budget (annual operating plan)'!D22:K22)</f>
        <v>0</v>
      </c>
      <c r="F22" s="12">
        <f>(D22-E22)</f>
        <v>0</v>
      </c>
      <c r="G22" s="12">
        <f>SUM('Outlook actuals from the ledger'!D22:O22)</f>
        <v>0</v>
      </c>
      <c r="H22" s="12">
        <f>SUM('Budget (annual operating plan)'!D22:O22)</f>
        <v>0</v>
      </c>
      <c r="I22" s="12">
        <f>(G22-H22)</f>
        <v>0</v>
      </c>
      <c r="J22" s="12">
        <f>IFERROR((I22/ABS(H22)),"")</f>
      </c>
    </row>
    <row r="23">
      <c r="A23" s="0" t="inlineStr">
        <is>
          <t xml:space="preserve">Cost of revenue: hosting</t>
        </is>
      </c>
      <c r="B23" s="0" t="inlineStr">
        <is>
          <t xml:space="preserve">United Kingdom</t>
        </is>
      </c>
      <c r="C23" s="0" t="inlineStr">
        <is>
          <t xml:space="preserve">Engineering</t>
        </is>
      </c>
      <c r="D23" s="12">
        <f>SUM('Outlook actuals from the ledger'!D23:K23)</f>
        <v>0</v>
      </c>
      <c r="E23" s="12">
        <f>SUM('Budget (annual operating plan)'!D23:K23)</f>
        <v>0</v>
      </c>
      <c r="F23" s="12">
        <f>(D23-E23)</f>
        <v>0</v>
      </c>
      <c r="G23" s="12">
        <f>SUM('Outlook actuals from the ledger'!D23:O23)</f>
        <v>0</v>
      </c>
      <c r="H23" s="12">
        <f>SUM('Budget (annual operating plan)'!D23:O23)</f>
        <v>0</v>
      </c>
      <c r="I23" s="12">
        <f>(G23-H23)</f>
        <v>0</v>
      </c>
      <c r="J23" s="12">
        <f>IFERROR((I23/ABS(H23)),"")</f>
      </c>
    </row>
    <row r="24">
      <c r="A24" s="0" t="inlineStr">
        <is>
          <t xml:space="preserve">Cost of revenue: hosting</t>
        </is>
      </c>
      <c r="B24" s="0" t="inlineStr">
        <is>
          <t xml:space="preserve">United Kingdom</t>
        </is>
      </c>
      <c r="C24" s="0" t="inlineStr">
        <is>
          <t xml:space="preserve">Customer success</t>
        </is>
      </c>
      <c r="D24" s="12">
        <f>SUM('Outlook actuals from the ledger'!D24:K24)</f>
        <v>0</v>
      </c>
      <c r="E24" s="12">
        <f>SUM('Budget (annual operating plan)'!D24:K24)</f>
        <v>0</v>
      </c>
      <c r="F24" s="12">
        <f>(D24-E24)</f>
        <v>0</v>
      </c>
      <c r="G24" s="12">
        <f>SUM('Outlook actuals from the ledger'!D24:O24)</f>
        <v>0</v>
      </c>
      <c r="H24" s="12">
        <f>SUM('Budget (annual operating plan)'!D24:O24)</f>
        <v>0</v>
      </c>
      <c r="I24" s="12">
        <f>(G24-H24)</f>
        <v>0</v>
      </c>
      <c r="J24" s="12">
        <f>IFERROR((I24/ABS(H24)),"")</f>
      </c>
    </row>
    <row r="25">
      <c r="A25" s="0" t="inlineStr">
        <is>
          <t xml:space="preserve">Cost of revenue: hosting</t>
        </is>
      </c>
      <c r="B25" s="0" t="inlineStr">
        <is>
          <t xml:space="preserve">United Kingdom</t>
        </is>
      </c>
      <c r="C25" s="0" t="inlineStr">
        <is>
          <t xml:space="preserve">G&amp;A</t>
        </is>
      </c>
      <c r="D25" s="12">
        <f>SUM('Outlook actuals from the ledger'!D25:K25)</f>
        <v>0</v>
      </c>
      <c r="E25" s="12">
        <f>SUM('Budget (annual operating plan)'!D25:K25)</f>
        <v>0</v>
      </c>
      <c r="F25" s="12">
        <f>(D25-E25)</f>
        <v>0</v>
      </c>
      <c r="G25" s="12">
        <f>SUM('Outlook actuals from the ledger'!D25:O25)</f>
        <v>0</v>
      </c>
      <c r="H25" s="12">
        <f>SUM('Budget (annual operating plan)'!D25:O25)</f>
        <v>0</v>
      </c>
      <c r="I25" s="12">
        <f>(G25-H25)</f>
        <v>0</v>
      </c>
      <c r="J25" s="12">
        <f>IFERROR((I25/ABS(H25)),"")</f>
      </c>
    </row>
    <row r="26">
      <c r="A26" s="0" t="inlineStr">
        <is>
          <t xml:space="preserve">Cost of revenue: support</t>
        </is>
      </c>
      <c r="B26" s="0" t="inlineStr">
        <is>
          <t xml:space="preserve">United States</t>
        </is>
      </c>
      <c r="C26" s="0" t="inlineStr">
        <is>
          <t xml:space="preserve">Company (revenue and cost of revenue)</t>
        </is>
      </c>
      <c r="D26" s="12">
        <f>SUM('Outlook actuals from the ledger'!D26:K26)</f>
        <v>-1792117</v>
      </c>
      <c r="E26" s="12">
        <f>SUM('Budget (annual operating plan)'!D26:K26)</f>
        <v>-1799500</v>
      </c>
      <c r="F26" s="12">
        <f>(D26-E26)</f>
        <v>7383</v>
      </c>
      <c r="G26" s="12">
        <f>SUM('Outlook actuals from the ledger'!D26:O26)</f>
        <v>-2763976.84710862</v>
      </c>
      <c r="H26" s="12">
        <f>SUM('Budget (annual operating plan)'!D26:O26)</f>
        <v>-2863300</v>
      </c>
      <c r="I26" s="12">
        <f>(G26-H26)</f>
        <v>99323.15289137978</v>
      </c>
      <c r="J26" s="12">
        <f>IFERROR((I26/ABS(H26)),"")</f>
        <v>0.034688350117479755</v>
      </c>
    </row>
    <row r="27">
      <c r="A27" s="0" t="inlineStr">
        <is>
          <t xml:space="preserve">Cost of revenue: support</t>
        </is>
      </c>
      <c r="B27" s="0" t="inlineStr">
        <is>
          <t xml:space="preserve">United States</t>
        </is>
      </c>
      <c r="C27" s="0" t="inlineStr">
        <is>
          <t xml:space="preserve">Sales</t>
        </is>
      </c>
      <c r="D27" s="12">
        <f>SUM('Outlook actuals from the ledger'!D27:K27)</f>
        <v>0</v>
      </c>
      <c r="E27" s="12">
        <f>SUM('Budget (annual operating plan)'!D27:K27)</f>
        <v>0</v>
      </c>
      <c r="F27" s="12">
        <f>(D27-E27)</f>
        <v>0</v>
      </c>
      <c r="G27" s="12">
        <f>SUM('Outlook actuals from the ledger'!D27:O27)</f>
        <v>0</v>
      </c>
      <c r="H27" s="12">
        <f>SUM('Budget (annual operating plan)'!D27:O27)</f>
        <v>0</v>
      </c>
      <c r="I27" s="12">
        <f>(G27-H27)</f>
        <v>0</v>
      </c>
      <c r="J27" s="12">
        <f>IFERROR((I27/ABS(H27)),"")</f>
      </c>
    </row>
    <row r="28">
      <c r="A28" s="0" t="inlineStr">
        <is>
          <t xml:space="preserve">Cost of revenue: support</t>
        </is>
      </c>
      <c r="B28" s="0" t="inlineStr">
        <is>
          <t xml:space="preserve">United States</t>
        </is>
      </c>
      <c r="C28" s="0" t="inlineStr">
        <is>
          <t xml:space="preserve">Marketing</t>
        </is>
      </c>
      <c r="D28" s="12">
        <f>SUM('Outlook actuals from the ledger'!D28:K28)</f>
        <v>0</v>
      </c>
      <c r="E28" s="12">
        <f>SUM('Budget (annual operating plan)'!D28:K28)</f>
        <v>0</v>
      </c>
      <c r="F28" s="12">
        <f>(D28-E28)</f>
        <v>0</v>
      </c>
      <c r="G28" s="12">
        <f>SUM('Outlook actuals from the ledger'!D28:O28)</f>
        <v>0</v>
      </c>
      <c r="H28" s="12">
        <f>SUM('Budget (annual operating plan)'!D28:O28)</f>
        <v>0</v>
      </c>
      <c r="I28" s="12">
        <f>(G28-H28)</f>
        <v>0</v>
      </c>
      <c r="J28" s="12">
        <f>IFERROR((I28/ABS(H28)),"")</f>
      </c>
    </row>
    <row r="29">
      <c r="A29" s="0" t="inlineStr">
        <is>
          <t xml:space="preserve">Cost of revenue: support</t>
        </is>
      </c>
      <c r="B29" s="0" t="inlineStr">
        <is>
          <t xml:space="preserve">United States</t>
        </is>
      </c>
      <c r="C29" s="0" t="inlineStr">
        <is>
          <t xml:space="preserve">Engineering</t>
        </is>
      </c>
      <c r="D29" s="12">
        <f>SUM('Outlook actuals from the ledger'!D29:K29)</f>
        <v>0</v>
      </c>
      <c r="E29" s="12">
        <f>SUM('Budget (annual operating plan)'!D29:K29)</f>
        <v>0</v>
      </c>
      <c r="F29" s="12">
        <f>(D29-E29)</f>
        <v>0</v>
      </c>
      <c r="G29" s="12">
        <f>SUM('Outlook actuals from the ledger'!D29:O29)</f>
        <v>0</v>
      </c>
      <c r="H29" s="12">
        <f>SUM('Budget (annual operating plan)'!D29:O29)</f>
        <v>0</v>
      </c>
      <c r="I29" s="12">
        <f>(G29-H29)</f>
        <v>0</v>
      </c>
      <c r="J29" s="12">
        <f>IFERROR((I29/ABS(H29)),"")</f>
      </c>
    </row>
    <row r="30">
      <c r="A30" s="0" t="inlineStr">
        <is>
          <t xml:space="preserve">Cost of revenue: support</t>
        </is>
      </c>
      <c r="B30" s="0" t="inlineStr">
        <is>
          <t xml:space="preserve">United States</t>
        </is>
      </c>
      <c r="C30" s="0" t="inlineStr">
        <is>
          <t xml:space="preserve">Customer success</t>
        </is>
      </c>
      <c r="D30" s="12">
        <f>SUM('Outlook actuals from the ledger'!D30:K30)</f>
        <v>0</v>
      </c>
      <c r="E30" s="12">
        <f>SUM('Budget (annual operating plan)'!D30:K30)</f>
        <v>0</v>
      </c>
      <c r="F30" s="12">
        <f>(D30-E30)</f>
        <v>0</v>
      </c>
      <c r="G30" s="12">
        <f>SUM('Outlook actuals from the ledger'!D30:O30)</f>
        <v>0</v>
      </c>
      <c r="H30" s="12">
        <f>SUM('Budget (annual operating plan)'!D30:O30)</f>
        <v>0</v>
      </c>
      <c r="I30" s="12">
        <f>(G30-H30)</f>
        <v>0</v>
      </c>
      <c r="J30" s="12">
        <f>IFERROR((I30/ABS(H30)),"")</f>
      </c>
    </row>
    <row r="31">
      <c r="A31" s="0" t="inlineStr">
        <is>
          <t xml:space="preserve">Cost of revenue: support</t>
        </is>
      </c>
      <c r="B31" s="0" t="inlineStr">
        <is>
          <t xml:space="preserve">United States</t>
        </is>
      </c>
      <c r="C31" s="0" t="inlineStr">
        <is>
          <t xml:space="preserve">G&amp;A</t>
        </is>
      </c>
      <c r="D31" s="12">
        <f>SUM('Outlook actuals from the ledger'!D31:K31)</f>
        <v>0</v>
      </c>
      <c r="E31" s="12">
        <f>SUM('Budget (annual operating plan)'!D31:K31)</f>
        <v>0</v>
      </c>
      <c r="F31" s="12">
        <f>(D31-E31)</f>
        <v>0</v>
      </c>
      <c r="G31" s="12">
        <f>SUM('Outlook actuals from the ledger'!D31:O31)</f>
        <v>0</v>
      </c>
      <c r="H31" s="12">
        <f>SUM('Budget (annual operating plan)'!D31:O31)</f>
        <v>0</v>
      </c>
      <c r="I31" s="12">
        <f>(G31-H31)</f>
        <v>0</v>
      </c>
      <c r="J31" s="12">
        <f>IFERROR((I31/ABS(H31)),"")</f>
      </c>
    </row>
    <row r="32">
      <c r="A32" s="0" t="inlineStr">
        <is>
          <t xml:space="preserve">Cost of revenue: support</t>
        </is>
      </c>
      <c r="B32" s="0" t="inlineStr">
        <is>
          <t xml:space="preserve">United Kingdom</t>
        </is>
      </c>
      <c r="C32" s="0" t="inlineStr">
        <is>
          <t xml:space="preserve">Company (revenue and cost of revenue)</t>
        </is>
      </c>
      <c r="D32" s="12">
        <f>SUM('Outlook actuals from the ledger'!D32:K32)</f>
        <v>-763404</v>
      </c>
      <c r="E32" s="12">
        <f>SUM('Budget (annual operating plan)'!D32:K32)</f>
        <v>-755800</v>
      </c>
      <c r="F32" s="12">
        <f>(D32-E32)</f>
        <v>-7604</v>
      </c>
      <c r="G32" s="12">
        <f>SUM('Outlook actuals from the ledger'!D32:O32)</f>
        <v>-1179082.2248885983</v>
      </c>
      <c r="H32" s="12">
        <f>SUM('Budget (annual operating plan)'!D32:O32)</f>
        <v>-1202700</v>
      </c>
      <c r="I32" s="12">
        <f>(G32-H32)</f>
        <v>23617.775111401686</v>
      </c>
      <c r="J32" s="12">
        <f>IFERROR((I32/ABS(H32)),"")</f>
        <v>0.01963729534497521</v>
      </c>
    </row>
    <row r="33">
      <c r="A33" s="0" t="inlineStr">
        <is>
          <t xml:space="preserve">Cost of revenue: support</t>
        </is>
      </c>
      <c r="B33" s="0" t="inlineStr">
        <is>
          <t xml:space="preserve">United Kingdom</t>
        </is>
      </c>
      <c r="C33" s="0" t="inlineStr">
        <is>
          <t xml:space="preserve">Sales</t>
        </is>
      </c>
      <c r="D33" s="12">
        <f>SUM('Outlook actuals from the ledger'!D33:K33)</f>
        <v>0</v>
      </c>
      <c r="E33" s="12">
        <f>SUM('Budget (annual operating plan)'!D33:K33)</f>
        <v>0</v>
      </c>
      <c r="F33" s="12">
        <f>(D33-E33)</f>
        <v>0</v>
      </c>
      <c r="G33" s="12">
        <f>SUM('Outlook actuals from the ledger'!D33:O33)</f>
        <v>0</v>
      </c>
      <c r="H33" s="12">
        <f>SUM('Budget (annual operating plan)'!D33:O33)</f>
        <v>0</v>
      </c>
      <c r="I33" s="12">
        <f>(G33-H33)</f>
        <v>0</v>
      </c>
      <c r="J33" s="12">
        <f>IFERROR((I33/ABS(H33)),"")</f>
      </c>
    </row>
    <row r="34">
      <c r="A34" s="0" t="inlineStr">
        <is>
          <t xml:space="preserve">Cost of revenue: support</t>
        </is>
      </c>
      <c r="B34" s="0" t="inlineStr">
        <is>
          <t xml:space="preserve">United Kingdom</t>
        </is>
      </c>
      <c r="C34" s="0" t="inlineStr">
        <is>
          <t xml:space="preserve">Marketing</t>
        </is>
      </c>
      <c r="D34" s="12">
        <f>SUM('Outlook actuals from the ledger'!D34:K34)</f>
        <v>0</v>
      </c>
      <c r="E34" s="12">
        <f>SUM('Budget (annual operating plan)'!D34:K34)</f>
        <v>0</v>
      </c>
      <c r="F34" s="12">
        <f>(D34-E34)</f>
        <v>0</v>
      </c>
      <c r="G34" s="12">
        <f>SUM('Outlook actuals from the ledger'!D34:O34)</f>
        <v>0</v>
      </c>
      <c r="H34" s="12">
        <f>SUM('Budget (annual operating plan)'!D34:O34)</f>
        <v>0</v>
      </c>
      <c r="I34" s="12">
        <f>(G34-H34)</f>
        <v>0</v>
      </c>
      <c r="J34" s="12">
        <f>IFERROR((I34/ABS(H34)),"")</f>
      </c>
    </row>
    <row r="35">
      <c r="A35" s="0" t="inlineStr">
        <is>
          <t xml:space="preserve">Cost of revenue: support</t>
        </is>
      </c>
      <c r="B35" s="0" t="inlineStr">
        <is>
          <t xml:space="preserve">United Kingdom</t>
        </is>
      </c>
      <c r="C35" s="0" t="inlineStr">
        <is>
          <t xml:space="preserve">Engineering</t>
        </is>
      </c>
      <c r="D35" s="12">
        <f>SUM('Outlook actuals from the ledger'!D35:K35)</f>
        <v>0</v>
      </c>
      <c r="E35" s="12">
        <f>SUM('Budget (annual operating plan)'!D35:K35)</f>
        <v>0</v>
      </c>
      <c r="F35" s="12">
        <f>(D35-E35)</f>
        <v>0</v>
      </c>
      <c r="G35" s="12">
        <f>SUM('Outlook actuals from the ledger'!D35:O35)</f>
        <v>0</v>
      </c>
      <c r="H35" s="12">
        <f>SUM('Budget (annual operating plan)'!D35:O35)</f>
        <v>0</v>
      </c>
      <c r="I35" s="12">
        <f>(G35-H35)</f>
        <v>0</v>
      </c>
      <c r="J35" s="12">
        <f>IFERROR((I35/ABS(H35)),"")</f>
      </c>
    </row>
    <row r="36">
      <c r="A36" s="0" t="inlineStr">
        <is>
          <t xml:space="preserve">Cost of revenue: support</t>
        </is>
      </c>
      <c r="B36" s="0" t="inlineStr">
        <is>
          <t xml:space="preserve">United Kingdom</t>
        </is>
      </c>
      <c r="C36" s="0" t="inlineStr">
        <is>
          <t xml:space="preserve">Customer success</t>
        </is>
      </c>
      <c r="D36" s="12">
        <f>SUM('Outlook actuals from the ledger'!D36:K36)</f>
        <v>0</v>
      </c>
      <c r="E36" s="12">
        <f>SUM('Budget (annual operating plan)'!D36:K36)</f>
        <v>0</v>
      </c>
      <c r="F36" s="12">
        <f>(D36-E36)</f>
        <v>0</v>
      </c>
      <c r="G36" s="12">
        <f>SUM('Outlook actuals from the ledger'!D36:O36)</f>
        <v>0</v>
      </c>
      <c r="H36" s="12">
        <f>SUM('Budget (annual operating plan)'!D36:O36)</f>
        <v>0</v>
      </c>
      <c r="I36" s="12">
        <f>(G36-H36)</f>
        <v>0</v>
      </c>
      <c r="J36" s="12">
        <f>IFERROR((I36/ABS(H36)),"")</f>
      </c>
    </row>
    <row r="37">
      <c r="A37" s="0" t="inlineStr">
        <is>
          <t xml:space="preserve">Cost of revenue: support</t>
        </is>
      </c>
      <c r="B37" s="0" t="inlineStr">
        <is>
          <t xml:space="preserve">United Kingdom</t>
        </is>
      </c>
      <c r="C37" s="0" t="inlineStr">
        <is>
          <t xml:space="preserve">G&amp;A</t>
        </is>
      </c>
      <c r="D37" s="12">
        <f>SUM('Outlook actuals from the ledger'!D37:K37)</f>
        <v>0</v>
      </c>
      <c r="E37" s="12">
        <f>SUM('Budget (annual operating plan)'!D37:K37)</f>
        <v>0</v>
      </c>
      <c r="F37" s="12">
        <f>(D37-E37)</f>
        <v>0</v>
      </c>
      <c r="G37" s="12">
        <f>SUM('Outlook actuals from the ledger'!D37:O37)</f>
        <v>0</v>
      </c>
      <c r="H37" s="12">
        <f>SUM('Budget (annual operating plan)'!D37:O37)</f>
        <v>0</v>
      </c>
      <c r="I37" s="12">
        <f>(G37-H37)</f>
        <v>0</v>
      </c>
      <c r="J37" s="12">
        <f>IFERROR((I37/ABS(H37)),"")</f>
      </c>
    </row>
    <row r="38">
      <c r="A38" s="0" t="inlineStr">
        <is>
          <t xml:space="preserve">Salaries</t>
        </is>
      </c>
      <c r="B38" s="0" t="inlineStr">
        <is>
          <t xml:space="preserve">United States</t>
        </is>
      </c>
      <c r="C38" s="0" t="inlineStr">
        <is>
          <t xml:space="preserve">Company (revenue and cost of revenue)</t>
        </is>
      </c>
      <c r="D38" s="12">
        <f>SUM('Outlook actuals from the ledger'!D38:K38)</f>
        <v>0</v>
      </c>
      <c r="E38" s="12">
        <f>SUM('Budget (annual operating plan)'!D38:K38)</f>
        <v>0</v>
      </c>
      <c r="F38" s="12">
        <f>(D38-E38)</f>
        <v>0</v>
      </c>
      <c r="G38" s="12">
        <f>SUM('Outlook actuals from the ledger'!D38:O38)</f>
        <v>0</v>
      </c>
      <c r="H38" s="12">
        <f>SUM('Budget (annual operating plan)'!D38:O38)</f>
        <v>0</v>
      </c>
      <c r="I38" s="12">
        <f>(G38-H38)</f>
        <v>0</v>
      </c>
      <c r="J38" s="12">
        <f>IFERROR((I38/ABS(H38)),"")</f>
      </c>
    </row>
    <row r="39">
      <c r="A39" s="0" t="inlineStr">
        <is>
          <t xml:space="preserve">Salaries</t>
        </is>
      </c>
      <c r="B39" s="0" t="inlineStr">
        <is>
          <t xml:space="preserve">United States</t>
        </is>
      </c>
      <c r="C39" s="0" t="inlineStr">
        <is>
          <t xml:space="preserve">Sales</t>
        </is>
      </c>
      <c r="D39" s="12">
        <f>SUM('Outlook actuals from the ledger'!D39:K39)</f>
        <v>-2709304</v>
      </c>
      <c r="E39" s="12">
        <f>SUM('Budget (annual operating plan)'!D39:K39)</f>
        <v>-2722500</v>
      </c>
      <c r="F39" s="12">
        <f>(D39-E39)</f>
        <v>13196</v>
      </c>
      <c r="G39" s="12">
        <f>SUM('Outlook actuals from the ledger'!D39:O39)</f>
        <v>-4359304</v>
      </c>
      <c r="H39" s="12">
        <f>SUM('Budget (annual operating plan)'!D39:O39)</f>
        <v>-4372500</v>
      </c>
      <c r="I39" s="12">
        <f>(G39-H39)</f>
        <v>13196</v>
      </c>
      <c r="J39" s="12">
        <f>IFERROR((I39/ABS(H39)),"")</f>
        <v>0.0030179531160663235</v>
      </c>
    </row>
    <row r="40">
      <c r="A40" s="0" t="inlineStr">
        <is>
          <t xml:space="preserve">Salaries</t>
        </is>
      </c>
      <c r="B40" s="0" t="inlineStr">
        <is>
          <t xml:space="preserve">United States</t>
        </is>
      </c>
      <c r="C40" s="0" t="inlineStr">
        <is>
          <t xml:space="preserve">Marketing</t>
        </is>
      </c>
      <c r="D40" s="12">
        <f>SUM('Outlook actuals from the ledger'!D40:K40)</f>
        <v>-905854</v>
      </c>
      <c r="E40" s="12">
        <f>SUM('Budget (annual operating plan)'!D40:K40)</f>
        <v>-933400</v>
      </c>
      <c r="F40" s="12">
        <f>(D40-E40)</f>
        <v>27546</v>
      </c>
      <c r="G40" s="12">
        <f>SUM('Outlook actuals from the ledger'!D40:O40)</f>
        <v>-1454187.3333333335</v>
      </c>
      <c r="H40" s="12">
        <f>SUM('Budget (annual operating plan)'!D40:O40)</f>
        <v>-1481700</v>
      </c>
      <c r="I40" s="12">
        <f>(G40-H40)</f>
        <v>27512.66666666651</v>
      </c>
      <c r="J40" s="12">
        <f>IFERROR((I40/ABS(H40)),"")</f>
        <v>0.018568311174101716</v>
      </c>
    </row>
    <row r="41">
      <c r="A41" s="0" t="inlineStr">
        <is>
          <t xml:space="preserve">Salaries</t>
        </is>
      </c>
      <c r="B41" s="0" t="inlineStr">
        <is>
          <t xml:space="preserve">United States</t>
        </is>
      </c>
      <c r="C41" s="0" t="inlineStr">
        <is>
          <t xml:space="preserve">Engineering</t>
        </is>
      </c>
      <c r="D41" s="12">
        <f>SUM('Outlook actuals from the ledger'!D41:K41)</f>
        <v>-5402747</v>
      </c>
      <c r="E41" s="12">
        <f>SUM('Budget (annual operating plan)'!D41:K41)</f>
        <v>-5620800</v>
      </c>
      <c r="F41" s="12">
        <f>(D41-E41)</f>
        <v>218053</v>
      </c>
      <c r="G41" s="12">
        <f>SUM('Outlook actuals from the ledger'!D41:O41)</f>
        <v>-8791080.333333334</v>
      </c>
      <c r="H41" s="12">
        <f>SUM('Budget (annual operating plan)'!D41:O41)</f>
        <v>-9009100</v>
      </c>
      <c r="I41" s="12">
        <f>(G41-H41)</f>
        <v>218019.66666666605</v>
      </c>
      <c r="J41" s="12">
        <f>IFERROR((I41/ABS(H41)),"")</f>
        <v>0.024199938580620268</v>
      </c>
    </row>
    <row r="42">
      <c r="A42" s="0" t="inlineStr">
        <is>
          <t xml:space="preserve">Salaries</t>
        </is>
      </c>
      <c r="B42" s="0" t="inlineStr">
        <is>
          <t xml:space="preserve">United States</t>
        </is>
      </c>
      <c r="C42" s="0" t="inlineStr">
        <is>
          <t xml:space="preserve">Customer success</t>
        </is>
      </c>
      <c r="D42" s="12">
        <f>SUM('Outlook actuals from the ledger'!D42:K42)</f>
        <v>-998089</v>
      </c>
      <c r="E42" s="12">
        <f>SUM('Budget (annual operating plan)'!D42:K42)</f>
        <v>-990000</v>
      </c>
      <c r="F42" s="12">
        <f>(D42-E42)</f>
        <v>-8089</v>
      </c>
      <c r="G42" s="12">
        <f>SUM('Outlook actuals from the ledger'!D42:O42)</f>
        <v>-1575589.0000000002</v>
      </c>
      <c r="H42" s="12">
        <f>SUM('Budget (annual operating plan)'!D42:O42)</f>
        <v>-1567600</v>
      </c>
      <c r="I42" s="12">
        <f>(G42-H42)</f>
        <v>-7989.000000000233</v>
      </c>
      <c r="J42" s="12">
        <f>IFERROR((I42/ABS(H42)),"")</f>
        <v>-0.005096325593263736</v>
      </c>
    </row>
    <row r="43">
      <c r="A43" s="0" t="inlineStr">
        <is>
          <t xml:space="preserve">Salaries</t>
        </is>
      </c>
      <c r="B43" s="0" t="inlineStr">
        <is>
          <t xml:space="preserve">United States</t>
        </is>
      </c>
      <c r="C43" s="0" t="inlineStr">
        <is>
          <t xml:space="preserve">G&amp;A</t>
        </is>
      </c>
      <c r="D43" s="12">
        <f>SUM('Outlook actuals from the ledger'!D43:K43)</f>
        <v>-1075245</v>
      </c>
      <c r="E43" s="12">
        <f>SUM('Budget (annual operating plan)'!D43:K43)</f>
        <v>-1062500</v>
      </c>
      <c r="F43" s="12">
        <f>(D43-E43)</f>
        <v>-12745</v>
      </c>
      <c r="G43" s="12">
        <f>SUM('Outlook actuals from the ledger'!D43:O43)</f>
        <v>-1675245</v>
      </c>
      <c r="H43" s="12">
        <f>SUM('Budget (annual operating plan)'!D43:O43)</f>
        <v>-1662500</v>
      </c>
      <c r="I43" s="12">
        <f>(G43-H43)</f>
        <v>-12745</v>
      </c>
      <c r="J43" s="12">
        <f>IFERROR((I43/ABS(H43)),"")</f>
        <v>-0.007666165413533835</v>
      </c>
    </row>
    <row r="44">
      <c r="A44" s="0" t="inlineStr">
        <is>
          <t xml:space="preserve">Salaries</t>
        </is>
      </c>
      <c r="B44" s="0" t="inlineStr">
        <is>
          <t xml:space="preserve">United Kingdom</t>
        </is>
      </c>
      <c r="C44" s="0" t="inlineStr">
        <is>
          <t xml:space="preserve">Company (revenue and cost of revenue)</t>
        </is>
      </c>
      <c r="D44" s="12">
        <f>SUM('Outlook actuals from the ledger'!D44:K44)</f>
        <v>0</v>
      </c>
      <c r="E44" s="12">
        <f>SUM('Budget (annual operating plan)'!D44:K44)</f>
        <v>0</v>
      </c>
      <c r="F44" s="12">
        <f>(D44-E44)</f>
        <v>0</v>
      </c>
      <c r="G44" s="12">
        <f>SUM('Outlook actuals from the ledger'!D44:O44)</f>
        <v>0</v>
      </c>
      <c r="H44" s="12">
        <f>SUM('Budget (annual operating plan)'!D44:O44)</f>
        <v>0</v>
      </c>
      <c r="I44" s="12">
        <f>(G44-H44)</f>
        <v>0</v>
      </c>
      <c r="J44" s="12">
        <f>IFERROR((I44/ABS(H44)),"")</f>
      </c>
    </row>
    <row r="45">
      <c r="A45" s="0" t="inlineStr">
        <is>
          <t xml:space="preserve">Salaries</t>
        </is>
      </c>
      <c r="B45" s="0" t="inlineStr">
        <is>
          <t xml:space="preserve">United Kingdom</t>
        </is>
      </c>
      <c r="C45" s="0" t="inlineStr">
        <is>
          <t xml:space="preserve">Sales</t>
        </is>
      </c>
      <c r="D45" s="12">
        <f>SUM('Outlook actuals from the ledger'!D45:K45)</f>
        <v>-840999</v>
      </c>
      <c r="E45" s="12">
        <f>SUM('Budget (annual operating plan)'!D45:K45)</f>
        <v>-911800</v>
      </c>
      <c r="F45" s="12">
        <f>(D45-E45)</f>
        <v>70801</v>
      </c>
      <c r="G45" s="12">
        <f>SUM('Outlook actuals from the ledger'!D45:O45)</f>
        <v>-1400999</v>
      </c>
      <c r="H45" s="12">
        <f>SUM('Budget (annual operating plan)'!D45:O45)</f>
        <v>-1472600</v>
      </c>
      <c r="I45" s="12">
        <f>(G45-H45)</f>
        <v>71601</v>
      </c>
      <c r="J45" s="12">
        <f>IFERROR((I45/ABS(H45)),"")</f>
        <v>0.04862216487844628</v>
      </c>
    </row>
    <row r="46">
      <c r="A46" s="0" t="inlineStr">
        <is>
          <t xml:space="preserve">Salaries</t>
        </is>
      </c>
      <c r="B46" s="0" t="inlineStr">
        <is>
          <t xml:space="preserve">United Kingdom</t>
        </is>
      </c>
      <c r="C46" s="0" t="inlineStr">
        <is>
          <t xml:space="preserve">Marketing</t>
        </is>
      </c>
      <c r="D46" s="12">
        <f>SUM('Outlook actuals from the ledger'!D46:K46)</f>
        <v>-407829</v>
      </c>
      <c r="E46" s="12">
        <f>SUM('Budget (annual operating plan)'!D46:K46)</f>
        <v>-396800</v>
      </c>
      <c r="F46" s="12">
        <f>(D46-E46)</f>
        <v>-11029</v>
      </c>
      <c r="G46" s="12">
        <f>SUM('Outlook actuals from the ledger'!D46:O46)</f>
        <v>-645829</v>
      </c>
      <c r="H46" s="12">
        <f>SUM('Budget (annual operating plan)'!D46:O46)</f>
        <v>-634800</v>
      </c>
      <c r="I46" s="12">
        <f>(G46-H46)</f>
        <v>-11029</v>
      </c>
      <c r="J46" s="12">
        <f>IFERROR((I46/ABS(H46)),"")</f>
        <v>-0.017373976055450536</v>
      </c>
    </row>
    <row r="47">
      <c r="A47" s="0" t="inlineStr">
        <is>
          <t xml:space="preserve">Salaries</t>
        </is>
      </c>
      <c r="B47" s="0" t="inlineStr">
        <is>
          <t xml:space="preserve">United Kingdom</t>
        </is>
      </c>
      <c r="C47" s="0" t="inlineStr">
        <is>
          <t xml:space="preserve">Engineering</t>
        </is>
      </c>
      <c r="D47" s="12">
        <f>SUM('Outlook actuals from the ledger'!D47:K47)</f>
        <v>-2094635</v>
      </c>
      <c r="E47" s="12">
        <f>SUM('Budget (annual operating plan)'!D47:K47)</f>
        <v>-2153400</v>
      </c>
      <c r="F47" s="12">
        <f>(D47-E47)</f>
        <v>58765</v>
      </c>
      <c r="G47" s="12">
        <f>SUM('Outlook actuals from the ledger'!D47:O47)</f>
        <v>-3471635</v>
      </c>
      <c r="H47" s="12">
        <f>SUM('Budget (annual operating plan)'!D47:O47)</f>
        <v>-3526200</v>
      </c>
      <c r="I47" s="12">
        <f>(G47-H47)</f>
        <v>54565</v>
      </c>
      <c r="J47" s="12">
        <f>IFERROR((I47/ABS(H47)),"")</f>
        <v>0.015474164823322556</v>
      </c>
    </row>
    <row r="48">
      <c r="A48" s="0" t="inlineStr">
        <is>
          <t xml:space="preserve">Salaries</t>
        </is>
      </c>
      <c r="B48" s="0" t="inlineStr">
        <is>
          <t xml:space="preserve">United Kingdom</t>
        </is>
      </c>
      <c r="C48" s="0" t="inlineStr">
        <is>
          <t xml:space="preserve">Customer success</t>
        </is>
      </c>
      <c r="D48" s="12">
        <f>SUM('Outlook actuals from the ledger'!D48:K48)</f>
        <v>-348019</v>
      </c>
      <c r="E48" s="12">
        <f>SUM('Budget (annual operating plan)'!D48:K48)</f>
        <v>-343200</v>
      </c>
      <c r="F48" s="12">
        <f>(D48-E48)</f>
        <v>-4819</v>
      </c>
      <c r="G48" s="12">
        <f>SUM('Outlook actuals from the ledger'!D48:O48)</f>
        <v>-536019</v>
      </c>
      <c r="H48" s="12">
        <f>SUM('Budget (annual operating plan)'!D48:O48)</f>
        <v>-530400</v>
      </c>
      <c r="I48" s="12">
        <f>(G48-H48)</f>
        <v>-5619</v>
      </c>
      <c r="J48" s="12">
        <f>IFERROR((I48/ABS(H48)),"")</f>
        <v>-0.010593891402714932</v>
      </c>
    </row>
    <row r="49">
      <c r="A49" s="0" t="inlineStr">
        <is>
          <t xml:space="preserve">Salaries</t>
        </is>
      </c>
      <c r="B49" s="0" t="inlineStr">
        <is>
          <t xml:space="preserve">United Kingdom</t>
        </is>
      </c>
      <c r="C49" s="0" t="inlineStr">
        <is>
          <t xml:space="preserve">G&amp;A</t>
        </is>
      </c>
      <c r="D49" s="12">
        <f>SUM('Outlook actuals from the ledger'!D49:K49)</f>
        <v>-342884</v>
      </c>
      <c r="E49" s="12">
        <f>SUM('Budget (annual operating plan)'!D49:K49)</f>
        <v>-340000</v>
      </c>
      <c r="F49" s="12">
        <f>(D49-E49)</f>
        <v>-2884</v>
      </c>
      <c r="G49" s="12">
        <f>SUM('Outlook actuals from the ledger'!D49:O49)</f>
        <v>-556217.3333333333</v>
      </c>
      <c r="H49" s="12">
        <f>SUM('Budget (annual operating plan)'!D49:O49)</f>
        <v>-552400</v>
      </c>
      <c r="I49" s="12">
        <f>(G49-H49)</f>
        <v>-3817.3333333332557</v>
      </c>
      <c r="J49" s="12">
        <f>IFERROR((I49/ABS(H49)),"")</f>
        <v>-0.006910451363745938</v>
      </c>
    </row>
    <row r="50">
      <c r="A50" s="0" t="inlineStr">
        <is>
          <t xml:space="preserve">Benefits and payroll taxes</t>
        </is>
      </c>
      <c r="B50" s="0" t="inlineStr">
        <is>
          <t xml:space="preserve">United States</t>
        </is>
      </c>
      <c r="C50" s="0" t="inlineStr">
        <is>
          <t xml:space="preserve">Company (revenue and cost of revenue)</t>
        </is>
      </c>
      <c r="D50" s="12">
        <f>SUM('Outlook actuals from the ledger'!D50:K50)</f>
        <v>0</v>
      </c>
      <c r="E50" s="12">
        <f>SUM('Budget (annual operating plan)'!D50:K50)</f>
        <v>0</v>
      </c>
      <c r="F50" s="12">
        <f>(D50-E50)</f>
        <v>0</v>
      </c>
      <c r="G50" s="12">
        <f>SUM('Outlook actuals from the ledger'!D50:O50)</f>
        <v>0</v>
      </c>
      <c r="H50" s="12">
        <f>SUM('Budget (annual operating plan)'!D50:O50)</f>
        <v>0</v>
      </c>
      <c r="I50" s="12">
        <f>(G50-H50)</f>
        <v>0</v>
      </c>
      <c r="J50" s="12">
        <f>IFERROR((I50/ABS(H50)),"")</f>
      </c>
    </row>
    <row r="51">
      <c r="A51" s="0" t="inlineStr">
        <is>
          <t xml:space="preserve">Benefits and payroll taxes</t>
        </is>
      </c>
      <c r="B51" s="0" t="inlineStr">
        <is>
          <t xml:space="preserve">United States</t>
        </is>
      </c>
      <c r="C51" s="0" t="inlineStr">
        <is>
          <t xml:space="preserve">Sales</t>
        </is>
      </c>
      <c r="D51" s="12">
        <f>SUM('Outlook actuals from the ledger'!D51:K51)</f>
        <v>-553831</v>
      </c>
      <c r="E51" s="12">
        <f>SUM('Budget (annual operating plan)'!D51:K51)</f>
        <v>-571800</v>
      </c>
      <c r="F51" s="12">
        <f>(D51-E51)</f>
        <v>17969</v>
      </c>
      <c r="G51" s="12">
        <f>SUM('Outlook actuals from the ledger'!D51:O51)</f>
        <v>-906931</v>
      </c>
      <c r="H51" s="12">
        <f>SUM('Budget (annual operating plan)'!D51:O51)</f>
        <v>-918200</v>
      </c>
      <c r="I51" s="12">
        <f>(G51-H51)</f>
        <v>11269</v>
      </c>
      <c r="J51" s="12">
        <f>IFERROR((I51/ABS(H51)),"")</f>
        <v>0.012272925288608147</v>
      </c>
    </row>
    <row r="52">
      <c r="A52" s="0" t="inlineStr">
        <is>
          <t xml:space="preserve">Benefits and payroll taxes</t>
        </is>
      </c>
      <c r="B52" s="0" t="inlineStr">
        <is>
          <t xml:space="preserve">United States</t>
        </is>
      </c>
      <c r="C52" s="0" t="inlineStr">
        <is>
          <t xml:space="preserve">Marketing</t>
        </is>
      </c>
      <c r="D52" s="12">
        <f>SUM('Outlook actuals from the ledger'!D52:K52)</f>
        <v>-201537</v>
      </c>
      <c r="E52" s="12">
        <f>SUM('Budget (annual operating plan)'!D52:K52)</f>
        <v>-195800</v>
      </c>
      <c r="F52" s="12">
        <f>(D52-E52)</f>
        <v>-5737</v>
      </c>
      <c r="G52" s="12">
        <f>SUM('Outlook actuals from the ledger'!D52:O52)</f>
        <v>-318880.3333333334</v>
      </c>
      <c r="H52" s="12">
        <f>SUM('Budget (annual operating plan)'!D52:O52)</f>
        <v>-310900</v>
      </c>
      <c r="I52" s="12">
        <f>(G52-H52)</f>
        <v>-7980.333333333372</v>
      </c>
      <c r="J52" s="12">
        <f>IFERROR((I52/ABS(H52)),"")</f>
        <v>-0.025668489332046872</v>
      </c>
    </row>
    <row r="53">
      <c r="A53" s="0" t="inlineStr">
        <is>
          <t xml:space="preserve">Benefits and payroll taxes</t>
        </is>
      </c>
      <c r="B53" s="0" t="inlineStr">
        <is>
          <t xml:space="preserve">United States</t>
        </is>
      </c>
      <c r="C53" s="0" t="inlineStr">
        <is>
          <t xml:space="preserve">Engineering</t>
        </is>
      </c>
      <c r="D53" s="12">
        <f>SUM('Outlook actuals from the ledger'!D53:K53)</f>
        <v>-1183673</v>
      </c>
      <c r="E53" s="12">
        <f>SUM('Budget (annual operating plan)'!D53:K53)</f>
        <v>-1180400</v>
      </c>
      <c r="F53" s="12">
        <f>(D53-E53)</f>
        <v>-3273</v>
      </c>
      <c r="G53" s="12">
        <f>SUM('Outlook actuals from the ledger'!D53:O53)</f>
        <v>-1908776.3333333333</v>
      </c>
      <c r="H53" s="12">
        <f>SUM('Budget (annual operating plan)'!D53:O53)</f>
        <v>-1892000</v>
      </c>
      <c r="I53" s="12">
        <f>(G53-H53)</f>
        <v>-16776.333333333256</v>
      </c>
      <c r="J53" s="12">
        <f>IFERROR((I53/ABS(H53)),"")</f>
        <v>-0.008866983791402355</v>
      </c>
    </row>
    <row r="54">
      <c r="A54" s="0" t="inlineStr">
        <is>
          <t xml:space="preserve">Benefits and payroll taxes</t>
        </is>
      </c>
      <c r="B54" s="0" t="inlineStr">
        <is>
          <t xml:space="preserve">United States</t>
        </is>
      </c>
      <c r="C54" s="0" t="inlineStr">
        <is>
          <t xml:space="preserve">Customer success</t>
        </is>
      </c>
      <c r="D54" s="12">
        <f>SUM('Outlook actuals from the ledger'!D54:K54)</f>
        <v>-216700</v>
      </c>
      <c r="E54" s="12">
        <f>SUM('Budget (annual operating plan)'!D54:K54)</f>
        <v>-207700</v>
      </c>
      <c r="F54" s="12">
        <f>(D54-E54)</f>
        <v>-9000</v>
      </c>
      <c r="G54" s="12">
        <f>SUM('Outlook actuals from the ledger'!D54:O54)</f>
        <v>-340285.00000000006</v>
      </c>
      <c r="H54" s="12">
        <f>SUM('Budget (annual operating plan)'!D54:O54)</f>
        <v>-329000</v>
      </c>
      <c r="I54" s="12">
        <f>(G54-H54)</f>
        <v>-11285.000000000058</v>
      </c>
      <c r="J54" s="12">
        <f>IFERROR((I54/ABS(H54)),"")</f>
        <v>-0.03430091185410352</v>
      </c>
    </row>
    <row r="55">
      <c r="A55" s="0" t="inlineStr">
        <is>
          <t xml:space="preserve">Benefits and payroll taxes</t>
        </is>
      </c>
      <c r="B55" s="0" t="inlineStr">
        <is>
          <t xml:space="preserve">United States</t>
        </is>
      </c>
      <c r="C55" s="0" t="inlineStr">
        <is>
          <t xml:space="preserve">G&amp;A</t>
        </is>
      </c>
      <c r="D55" s="12">
        <f>SUM('Outlook actuals from the ledger'!D55:K55)</f>
        <v>-224338</v>
      </c>
      <c r="E55" s="12">
        <f>SUM('Budget (annual operating plan)'!D55:K55)</f>
        <v>-223100</v>
      </c>
      <c r="F55" s="12">
        <f>(D55-E55)</f>
        <v>-1238</v>
      </c>
      <c r="G55" s="12">
        <f>SUM('Outlook actuals from the ledger'!D55:O55)</f>
        <v>-352738</v>
      </c>
      <c r="H55" s="12">
        <f>SUM('Budget (annual operating plan)'!D55:O55)</f>
        <v>-349100</v>
      </c>
      <c r="I55" s="12">
        <f>(G55-H55)</f>
        <v>-3638</v>
      </c>
      <c r="J55" s="12">
        <f>IFERROR((I55/ABS(H55)),"")</f>
        <v>-0.010421082784302493</v>
      </c>
    </row>
    <row r="56">
      <c r="A56" s="0" t="inlineStr">
        <is>
          <t xml:space="preserve">Benefits and payroll taxes</t>
        </is>
      </c>
      <c r="B56" s="0" t="inlineStr">
        <is>
          <t xml:space="preserve">United Kingdom</t>
        </is>
      </c>
      <c r="C56" s="0" t="inlineStr">
        <is>
          <t xml:space="preserve">Company (revenue and cost of revenue)</t>
        </is>
      </c>
      <c r="D56" s="12">
        <f>SUM('Outlook actuals from the ledger'!D56:K56)</f>
        <v>0</v>
      </c>
      <c r="E56" s="12">
        <f>SUM('Budget (annual operating plan)'!D56:K56)</f>
        <v>0</v>
      </c>
      <c r="F56" s="12">
        <f>(D56-E56)</f>
        <v>0</v>
      </c>
      <c r="G56" s="12">
        <f>SUM('Outlook actuals from the ledger'!D56:O56)</f>
        <v>0</v>
      </c>
      <c r="H56" s="12">
        <f>SUM('Budget (annual operating plan)'!D56:O56)</f>
        <v>0</v>
      </c>
      <c r="I56" s="12">
        <f>(G56-H56)</f>
        <v>0</v>
      </c>
      <c r="J56" s="12">
        <f>IFERROR((I56/ABS(H56)),"")</f>
      </c>
    </row>
    <row r="57">
      <c r="A57" s="0" t="inlineStr">
        <is>
          <t xml:space="preserve">Benefits and payroll taxes</t>
        </is>
      </c>
      <c r="B57" s="0" t="inlineStr">
        <is>
          <t xml:space="preserve">United Kingdom</t>
        </is>
      </c>
      <c r="C57" s="0" t="inlineStr">
        <is>
          <t xml:space="preserve">Sales</t>
        </is>
      </c>
      <c r="D57" s="12">
        <f>SUM('Outlook actuals from the ledger'!D57:K57)</f>
        <v>-177202</v>
      </c>
      <c r="E57" s="12">
        <f>SUM('Budget (annual operating plan)'!D57:K57)</f>
        <v>-191200</v>
      </c>
      <c r="F57" s="12">
        <f>(D57-E57)</f>
        <v>13998</v>
      </c>
      <c r="G57" s="12">
        <f>SUM('Outlook actuals from the ledger'!D57:O57)</f>
        <v>-297042</v>
      </c>
      <c r="H57" s="12">
        <f>SUM('Budget (annual operating plan)'!D57:O57)</f>
        <v>-309200</v>
      </c>
      <c r="I57" s="12">
        <f>(G57-H57)</f>
        <v>12158</v>
      </c>
      <c r="J57" s="12">
        <f>IFERROR((I57/ABS(H57)),"")</f>
        <v>0.039320827943078916</v>
      </c>
    </row>
    <row r="58">
      <c r="A58" s="0" t="inlineStr">
        <is>
          <t xml:space="preserve">Benefits and payroll taxes</t>
        </is>
      </c>
      <c r="B58" s="0" t="inlineStr">
        <is>
          <t xml:space="preserve">United Kingdom</t>
        </is>
      </c>
      <c r="C58" s="0" t="inlineStr">
        <is>
          <t xml:space="preserve">Marketing</t>
        </is>
      </c>
      <c r="D58" s="12">
        <f>SUM('Outlook actuals from the ledger'!D58:K58)</f>
        <v>-83977</v>
      </c>
      <c r="E58" s="12">
        <f>SUM('Budget (annual operating plan)'!D58:K58)</f>
        <v>-83200</v>
      </c>
      <c r="F58" s="12">
        <f>(D58-E58)</f>
        <v>-777</v>
      </c>
      <c r="G58" s="12">
        <f>SUM('Outlook actuals from the ledger'!D58:O58)</f>
        <v>-134909</v>
      </c>
      <c r="H58" s="12">
        <f>SUM('Budget (annual operating plan)'!D58:O58)</f>
        <v>-133200</v>
      </c>
      <c r="I58" s="12">
        <f>(G58-H58)</f>
        <v>-1709</v>
      </c>
      <c r="J58" s="12">
        <f>IFERROR((I58/ABS(H58)),"")</f>
        <v>-0.01283033033033033</v>
      </c>
    </row>
    <row r="59">
      <c r="A59" s="0" t="inlineStr">
        <is>
          <t xml:space="preserve">Benefits and payroll taxes</t>
        </is>
      </c>
      <c r="B59" s="0" t="inlineStr">
        <is>
          <t xml:space="preserve">United Kingdom</t>
        </is>
      </c>
      <c r="C59" s="0" t="inlineStr">
        <is>
          <t xml:space="preserve">Engineering</t>
        </is>
      </c>
      <c r="D59" s="12">
        <f>SUM('Outlook actuals from the ledger'!D59:K59)</f>
        <v>-436807</v>
      </c>
      <c r="E59" s="12">
        <f>SUM('Budget (annual operating plan)'!D59:K59)</f>
        <v>-452200</v>
      </c>
      <c r="F59" s="12">
        <f>(D59-E59)</f>
        <v>15393</v>
      </c>
      <c r="G59" s="12">
        <f>SUM('Outlook actuals from the ledger'!D59:O59)</f>
        <v>-731485</v>
      </c>
      <c r="H59" s="12">
        <f>SUM('Budget (annual operating plan)'!D59:O59)</f>
        <v>-740600</v>
      </c>
      <c r="I59" s="12">
        <f>(G59-H59)</f>
        <v>9115</v>
      </c>
      <c r="J59" s="12">
        <f>IFERROR((I59/ABS(H59)),"")</f>
        <v>0.012307588441803942</v>
      </c>
    </row>
    <row r="60">
      <c r="A60" s="0" t="inlineStr">
        <is>
          <t xml:space="preserve">Benefits and payroll taxes</t>
        </is>
      </c>
      <c r="B60" s="0" t="inlineStr">
        <is>
          <t xml:space="preserve">United Kingdom</t>
        </is>
      </c>
      <c r="C60" s="0" t="inlineStr">
        <is>
          <t xml:space="preserve">Customer success</t>
        </is>
      </c>
      <c r="D60" s="12">
        <f>SUM('Outlook actuals from the ledger'!D60:K60)</f>
        <v>-73848</v>
      </c>
      <c r="E60" s="12">
        <f>SUM('Budget (annual operating plan)'!D60:K60)</f>
        <v>-72000</v>
      </c>
      <c r="F60" s="12">
        <f>(D60-E60)</f>
        <v>-1848</v>
      </c>
      <c r="G60" s="12">
        <f>SUM('Outlook actuals from the ledger'!D60:O60)</f>
        <v>-114080</v>
      </c>
      <c r="H60" s="12">
        <f>SUM('Budget (annual operating plan)'!D60:O60)</f>
        <v>-111200</v>
      </c>
      <c r="I60" s="12">
        <f>(G60-H60)</f>
        <v>-2880</v>
      </c>
      <c r="J60" s="12">
        <f>IFERROR((I60/ABS(H60)),"")</f>
        <v>-0.025899280575539568</v>
      </c>
    </row>
    <row r="61">
      <c r="A61" s="0" t="inlineStr">
        <is>
          <t xml:space="preserve">Benefits and payroll taxes</t>
        </is>
      </c>
      <c r="B61" s="0" t="inlineStr">
        <is>
          <t xml:space="preserve">United Kingdom</t>
        </is>
      </c>
      <c r="C61" s="0" t="inlineStr">
        <is>
          <t xml:space="preserve">G&amp;A</t>
        </is>
      </c>
      <c r="D61" s="12">
        <f>SUM('Outlook actuals from the ledger'!D61:K61)</f>
        <v>-72184</v>
      </c>
      <c r="E61" s="12">
        <f>SUM('Budget (annual operating plan)'!D61:K61)</f>
        <v>-71200</v>
      </c>
      <c r="F61" s="12">
        <f>(D61-E61)</f>
        <v>-984</v>
      </c>
      <c r="G61" s="12">
        <f>SUM('Outlook actuals from the ledger'!D61:O61)</f>
        <v>-117837.33333333331</v>
      </c>
      <c r="H61" s="12">
        <f>SUM('Budget (annual operating plan)'!D61:O61)</f>
        <v>-116000</v>
      </c>
      <c r="I61" s="12">
        <f>(G61-H61)</f>
        <v>-1837.333333333314</v>
      </c>
      <c r="J61" s="12">
        <f>IFERROR((I61/ABS(H61)),"")</f>
        <v>-0.015839080459769946</v>
      </c>
    </row>
    <row r="62">
      <c r="A62" s="0" t="inlineStr">
        <is>
          <t xml:space="preserve">Commissions</t>
        </is>
      </c>
      <c r="B62" s="0" t="inlineStr">
        <is>
          <t xml:space="preserve">United States</t>
        </is>
      </c>
      <c r="C62" s="0" t="inlineStr">
        <is>
          <t xml:space="preserve">Company (revenue and cost of revenue)</t>
        </is>
      </c>
      <c r="D62" s="12">
        <f>SUM('Outlook actuals from the ledger'!D62:K62)</f>
        <v>0</v>
      </c>
      <c r="E62" s="12">
        <f>SUM('Budget (annual operating plan)'!D62:K62)</f>
        <v>0</v>
      </c>
      <c r="F62" s="12">
        <f>(D62-E62)</f>
        <v>0</v>
      </c>
      <c r="G62" s="12">
        <f>SUM('Outlook actuals from the ledger'!D62:O62)</f>
        <v>0</v>
      </c>
      <c r="H62" s="12">
        <f>SUM('Budget (annual operating plan)'!D62:O62)</f>
        <v>0</v>
      </c>
      <c r="I62" s="12">
        <f>(G62-H62)</f>
        <v>0</v>
      </c>
      <c r="J62" s="12">
        <f>IFERROR((I62/ABS(H62)),"")</f>
      </c>
    </row>
    <row r="63">
      <c r="A63" s="0" t="inlineStr">
        <is>
          <t xml:space="preserve">Commissions</t>
        </is>
      </c>
      <c r="B63" s="0" t="inlineStr">
        <is>
          <t xml:space="preserve">United States</t>
        </is>
      </c>
      <c r="C63" s="0" t="inlineStr">
        <is>
          <t xml:space="preserve">Sales</t>
        </is>
      </c>
      <c r="D63" s="12">
        <f>SUM('Outlook actuals from the ledger'!D63:K63)</f>
        <v>-1644744</v>
      </c>
      <c r="E63" s="12">
        <f>SUM('Budget (annual operating plan)'!D63:K63)</f>
        <v>-1619600</v>
      </c>
      <c r="F63" s="12">
        <f>(D63-E63)</f>
        <v>-25144</v>
      </c>
      <c r="G63" s="12">
        <f>SUM('Outlook actuals from the ledger'!D63:O63)</f>
        <v>-2540379.5453746105</v>
      </c>
      <c r="H63" s="12">
        <f>SUM('Budget (annual operating plan)'!D63:O63)</f>
        <v>-2577100</v>
      </c>
      <c r="I63" s="12">
        <f>(G63-H63)</f>
        <v>36720.45462538954</v>
      </c>
      <c r="J63" s="12">
        <f>IFERROR((I63/ABS(H63)),"")</f>
        <v>0.014248750388184215</v>
      </c>
    </row>
    <row r="64">
      <c r="A64" s="0" t="inlineStr">
        <is>
          <t xml:space="preserve">Commissions</t>
        </is>
      </c>
      <c r="B64" s="0" t="inlineStr">
        <is>
          <t xml:space="preserve">United States</t>
        </is>
      </c>
      <c r="C64" s="0" t="inlineStr">
        <is>
          <t xml:space="preserve">Marketing</t>
        </is>
      </c>
      <c r="D64" s="12">
        <f>SUM('Outlook actuals from the ledger'!D64:K64)</f>
        <v>0</v>
      </c>
      <c r="E64" s="12">
        <f>SUM('Budget (annual operating plan)'!D64:K64)</f>
        <v>0</v>
      </c>
      <c r="F64" s="12">
        <f>(D64-E64)</f>
        <v>0</v>
      </c>
      <c r="G64" s="12">
        <f>SUM('Outlook actuals from the ledger'!D64:O64)</f>
        <v>0</v>
      </c>
      <c r="H64" s="12">
        <f>SUM('Budget (annual operating plan)'!D64:O64)</f>
        <v>0</v>
      </c>
      <c r="I64" s="12">
        <f>(G64-H64)</f>
        <v>0</v>
      </c>
      <c r="J64" s="12">
        <f>IFERROR((I64/ABS(H64)),"")</f>
      </c>
    </row>
    <row r="65">
      <c r="A65" s="0" t="inlineStr">
        <is>
          <t xml:space="preserve">Commissions</t>
        </is>
      </c>
      <c r="B65" s="0" t="inlineStr">
        <is>
          <t xml:space="preserve">United States</t>
        </is>
      </c>
      <c r="C65" s="0" t="inlineStr">
        <is>
          <t xml:space="preserve">Engineering</t>
        </is>
      </c>
      <c r="D65" s="12">
        <f>SUM('Outlook actuals from the ledger'!D65:K65)</f>
        <v>0</v>
      </c>
      <c r="E65" s="12">
        <f>SUM('Budget (annual operating plan)'!D65:K65)</f>
        <v>0</v>
      </c>
      <c r="F65" s="12">
        <f>(D65-E65)</f>
        <v>0</v>
      </c>
      <c r="G65" s="12">
        <f>SUM('Outlook actuals from the ledger'!D65:O65)</f>
        <v>0</v>
      </c>
      <c r="H65" s="12">
        <f>SUM('Budget (annual operating plan)'!D65:O65)</f>
        <v>0</v>
      </c>
      <c r="I65" s="12">
        <f>(G65-H65)</f>
        <v>0</v>
      </c>
      <c r="J65" s="12">
        <f>IFERROR((I65/ABS(H65)),"")</f>
      </c>
    </row>
    <row r="66">
      <c r="A66" s="0" t="inlineStr">
        <is>
          <t xml:space="preserve">Commissions</t>
        </is>
      </c>
      <c r="B66" s="0" t="inlineStr">
        <is>
          <t xml:space="preserve">United States</t>
        </is>
      </c>
      <c r="C66" s="0" t="inlineStr">
        <is>
          <t xml:space="preserve">Customer success</t>
        </is>
      </c>
      <c r="D66" s="12">
        <f>SUM('Outlook actuals from the ledger'!D66:K66)</f>
        <v>0</v>
      </c>
      <c r="E66" s="12">
        <f>SUM('Budget (annual operating plan)'!D66:K66)</f>
        <v>0</v>
      </c>
      <c r="F66" s="12">
        <f>(D66-E66)</f>
        <v>0</v>
      </c>
      <c r="G66" s="12">
        <f>SUM('Outlook actuals from the ledger'!D66:O66)</f>
        <v>0</v>
      </c>
      <c r="H66" s="12">
        <f>SUM('Budget (annual operating plan)'!D66:O66)</f>
        <v>0</v>
      </c>
      <c r="I66" s="12">
        <f>(G66-H66)</f>
        <v>0</v>
      </c>
      <c r="J66" s="12">
        <f>IFERROR((I66/ABS(H66)),"")</f>
      </c>
    </row>
    <row r="67">
      <c r="A67" s="0" t="inlineStr">
        <is>
          <t xml:space="preserve">Commissions</t>
        </is>
      </c>
      <c r="B67" s="0" t="inlineStr">
        <is>
          <t xml:space="preserve">United States</t>
        </is>
      </c>
      <c r="C67" s="0" t="inlineStr">
        <is>
          <t xml:space="preserve">G&amp;A</t>
        </is>
      </c>
      <c r="D67" s="12">
        <f>SUM('Outlook actuals from the ledger'!D67:K67)</f>
        <v>0</v>
      </c>
      <c r="E67" s="12">
        <f>SUM('Budget (annual operating plan)'!D67:K67)</f>
        <v>0</v>
      </c>
      <c r="F67" s="12">
        <f>(D67-E67)</f>
        <v>0</v>
      </c>
      <c r="G67" s="12">
        <f>SUM('Outlook actuals from the ledger'!D67:O67)</f>
        <v>0</v>
      </c>
      <c r="H67" s="12">
        <f>SUM('Budget (annual operating plan)'!D67:O67)</f>
        <v>0</v>
      </c>
      <c r="I67" s="12">
        <f>(G67-H67)</f>
        <v>0</v>
      </c>
      <c r="J67" s="12">
        <f>IFERROR((I67/ABS(H67)),"")</f>
      </c>
    </row>
    <row r="68">
      <c r="A68" s="0" t="inlineStr">
        <is>
          <t xml:space="preserve">Commissions</t>
        </is>
      </c>
      <c r="B68" s="0" t="inlineStr">
        <is>
          <t xml:space="preserve">United Kingdom</t>
        </is>
      </c>
      <c r="C68" s="0" t="inlineStr">
        <is>
          <t xml:space="preserve">Company (revenue and cost of revenue)</t>
        </is>
      </c>
      <c r="D68" s="12">
        <f>SUM('Outlook actuals from the ledger'!D68:K68)</f>
        <v>0</v>
      </c>
      <c r="E68" s="12">
        <f>SUM('Budget (annual operating plan)'!D68:K68)</f>
        <v>0</v>
      </c>
      <c r="F68" s="12">
        <f>(D68-E68)</f>
        <v>0</v>
      </c>
      <c r="G68" s="12">
        <f>SUM('Outlook actuals from the ledger'!D68:O68)</f>
        <v>0</v>
      </c>
      <c r="H68" s="12">
        <f>SUM('Budget (annual operating plan)'!D68:O68)</f>
        <v>0</v>
      </c>
      <c r="I68" s="12">
        <f>(G68-H68)</f>
        <v>0</v>
      </c>
      <c r="J68" s="12">
        <f>IFERROR((I68/ABS(H68)),"")</f>
      </c>
    </row>
    <row r="69">
      <c r="A69" s="0" t="inlineStr">
        <is>
          <t xml:space="preserve">Commissions</t>
        </is>
      </c>
      <c r="B69" s="0" t="inlineStr">
        <is>
          <t xml:space="preserve">United Kingdom</t>
        </is>
      </c>
      <c r="C69" s="0" t="inlineStr">
        <is>
          <t xml:space="preserve">Sales</t>
        </is>
      </c>
      <c r="D69" s="12">
        <f>SUM('Outlook actuals from the ledger'!D69:K69)</f>
        <v>-698479</v>
      </c>
      <c r="E69" s="12">
        <f>SUM('Budget (annual operating plan)'!D69:K69)</f>
        <v>-680100</v>
      </c>
      <c r="F69" s="12">
        <f>(D69-E69)</f>
        <v>-18379</v>
      </c>
      <c r="G69" s="12">
        <f>SUM('Outlook actuals from the ledger'!D69:O69)</f>
        <v>-1081555.0111718455</v>
      </c>
      <c r="H69" s="12">
        <f>SUM('Budget (annual operating plan)'!D69:O69)</f>
        <v>-1082200</v>
      </c>
      <c r="I69" s="12">
        <f>(G69-H69)</f>
        <v>644.9888281545136</v>
      </c>
      <c r="J69" s="12">
        <f>IFERROR((I69/ABS(H69)),"")</f>
        <v>0.0005959978083113228</v>
      </c>
    </row>
    <row r="70">
      <c r="A70" s="0" t="inlineStr">
        <is>
          <t xml:space="preserve">Commissions</t>
        </is>
      </c>
      <c r="B70" s="0" t="inlineStr">
        <is>
          <t xml:space="preserve">United Kingdom</t>
        </is>
      </c>
      <c r="C70" s="0" t="inlineStr">
        <is>
          <t xml:space="preserve">Marketing</t>
        </is>
      </c>
      <c r="D70" s="12">
        <f>SUM('Outlook actuals from the ledger'!D70:K70)</f>
        <v>0</v>
      </c>
      <c r="E70" s="12">
        <f>SUM('Budget (annual operating plan)'!D70:K70)</f>
        <v>0</v>
      </c>
      <c r="F70" s="12">
        <f>(D70-E70)</f>
        <v>0</v>
      </c>
      <c r="G70" s="12">
        <f>SUM('Outlook actuals from the ledger'!D70:O70)</f>
        <v>0</v>
      </c>
      <c r="H70" s="12">
        <f>SUM('Budget (annual operating plan)'!D70:O70)</f>
        <v>0</v>
      </c>
      <c r="I70" s="12">
        <f>(G70-H70)</f>
        <v>0</v>
      </c>
      <c r="J70" s="12">
        <f>IFERROR((I70/ABS(H70)),"")</f>
      </c>
    </row>
    <row r="71">
      <c r="A71" s="0" t="inlineStr">
        <is>
          <t xml:space="preserve">Commissions</t>
        </is>
      </c>
      <c r="B71" s="0" t="inlineStr">
        <is>
          <t xml:space="preserve">United Kingdom</t>
        </is>
      </c>
      <c r="C71" s="0" t="inlineStr">
        <is>
          <t xml:space="preserve">Engineering</t>
        </is>
      </c>
      <c r="D71" s="12">
        <f>SUM('Outlook actuals from the ledger'!D71:K71)</f>
        <v>0</v>
      </c>
      <c r="E71" s="12">
        <f>SUM('Budget (annual operating plan)'!D71:K71)</f>
        <v>0</v>
      </c>
      <c r="F71" s="12">
        <f>(D71-E71)</f>
        <v>0</v>
      </c>
      <c r="G71" s="12">
        <f>SUM('Outlook actuals from the ledger'!D71:O71)</f>
        <v>0</v>
      </c>
      <c r="H71" s="12">
        <f>SUM('Budget (annual operating plan)'!D71:O71)</f>
        <v>0</v>
      </c>
      <c r="I71" s="12">
        <f>(G71-H71)</f>
        <v>0</v>
      </c>
      <c r="J71" s="12">
        <f>IFERROR((I71/ABS(H71)),"")</f>
      </c>
    </row>
    <row r="72">
      <c r="A72" s="0" t="inlineStr">
        <is>
          <t xml:space="preserve">Commissions</t>
        </is>
      </c>
      <c r="B72" s="0" t="inlineStr">
        <is>
          <t xml:space="preserve">United Kingdom</t>
        </is>
      </c>
      <c r="C72" s="0" t="inlineStr">
        <is>
          <t xml:space="preserve">Customer success</t>
        </is>
      </c>
      <c r="D72" s="12">
        <f>SUM('Outlook actuals from the ledger'!D72:K72)</f>
        <v>0</v>
      </c>
      <c r="E72" s="12">
        <f>SUM('Budget (annual operating plan)'!D72:K72)</f>
        <v>0</v>
      </c>
      <c r="F72" s="12">
        <f>(D72-E72)</f>
        <v>0</v>
      </c>
      <c r="G72" s="12">
        <f>SUM('Outlook actuals from the ledger'!D72:O72)</f>
        <v>0</v>
      </c>
      <c r="H72" s="12">
        <f>SUM('Budget (annual operating plan)'!D72:O72)</f>
        <v>0</v>
      </c>
      <c r="I72" s="12">
        <f>(G72-H72)</f>
        <v>0</v>
      </c>
      <c r="J72" s="12">
        <f>IFERROR((I72/ABS(H72)),"")</f>
      </c>
    </row>
    <row r="73">
      <c r="A73" s="0" t="inlineStr">
        <is>
          <t xml:space="preserve">Commissions</t>
        </is>
      </c>
      <c r="B73" s="0" t="inlineStr">
        <is>
          <t xml:space="preserve">United Kingdom</t>
        </is>
      </c>
      <c r="C73" s="0" t="inlineStr">
        <is>
          <t xml:space="preserve">G&amp;A</t>
        </is>
      </c>
      <c r="D73" s="12">
        <f>SUM('Outlook actuals from the ledger'!D73:K73)</f>
        <v>0</v>
      </c>
      <c r="E73" s="12">
        <f>SUM('Budget (annual operating plan)'!D73:K73)</f>
        <v>0</v>
      </c>
      <c r="F73" s="12">
        <f>(D73-E73)</f>
        <v>0</v>
      </c>
      <c r="G73" s="12">
        <f>SUM('Outlook actuals from the ledger'!D73:O73)</f>
        <v>0</v>
      </c>
      <c r="H73" s="12">
        <f>SUM('Budget (annual operating plan)'!D73:O73)</f>
        <v>0</v>
      </c>
      <c r="I73" s="12">
        <f>(G73-H73)</f>
        <v>0</v>
      </c>
      <c r="J73" s="12">
        <f>IFERROR((I73/ABS(H73)),"")</f>
      </c>
    </row>
    <row r="74">
      <c r="A74" s="0" t="inlineStr">
        <is>
          <t xml:space="preserve">Contractors</t>
        </is>
      </c>
      <c r="B74" s="0" t="inlineStr">
        <is>
          <t xml:space="preserve">United States</t>
        </is>
      </c>
      <c r="C74" s="0" t="inlineStr">
        <is>
          <t xml:space="preserve">Company (revenue and cost of revenue)</t>
        </is>
      </c>
      <c r="D74" s="12">
        <f>SUM('Outlook actuals from the ledger'!D74:K74)</f>
        <v>0</v>
      </c>
      <c r="E74" s="12">
        <f>SUM('Budget (annual operating plan)'!D74:K74)</f>
        <v>0</v>
      </c>
      <c r="F74" s="12">
        <f>(D74-E74)</f>
        <v>0</v>
      </c>
      <c r="G74" s="12">
        <f>SUM('Outlook actuals from the ledger'!D74:O74)</f>
        <v>0</v>
      </c>
      <c r="H74" s="12">
        <f>SUM('Budget (annual operating plan)'!D74:O74)</f>
        <v>0</v>
      </c>
      <c r="I74" s="12">
        <f>(G74-H74)</f>
        <v>0</v>
      </c>
      <c r="J74" s="12">
        <f>IFERROR((I74/ABS(H74)),"")</f>
      </c>
    </row>
    <row r="75">
      <c r="A75" s="0" t="inlineStr">
        <is>
          <t xml:space="preserve">Contractors</t>
        </is>
      </c>
      <c r="B75" s="0" t="inlineStr">
        <is>
          <t xml:space="preserve">United States</t>
        </is>
      </c>
      <c r="C75" s="0" t="inlineStr">
        <is>
          <t xml:space="preserve">Sales</t>
        </is>
      </c>
      <c r="D75" s="12">
        <f>SUM('Outlook actuals from the ledger'!D75:K75)</f>
        <v>0</v>
      </c>
      <c r="E75" s="12">
        <f>SUM('Budget (annual operating plan)'!D75:K75)</f>
        <v>0</v>
      </c>
      <c r="F75" s="12">
        <f>(D75-E75)</f>
        <v>0</v>
      </c>
      <c r="G75" s="12">
        <f>SUM('Outlook actuals from the ledger'!D75:O75)</f>
        <v>0</v>
      </c>
      <c r="H75" s="12">
        <f>SUM('Budget (annual operating plan)'!D75:O75)</f>
        <v>0</v>
      </c>
      <c r="I75" s="12">
        <f>(G75-H75)</f>
        <v>0</v>
      </c>
      <c r="J75" s="12">
        <f>IFERROR((I75/ABS(H75)),"")</f>
      </c>
    </row>
    <row r="76">
      <c r="A76" s="0" t="inlineStr">
        <is>
          <t xml:space="preserve">Contractors</t>
        </is>
      </c>
      <c r="B76" s="0" t="inlineStr">
        <is>
          <t xml:space="preserve">United States</t>
        </is>
      </c>
      <c r="C76" s="0" t="inlineStr">
        <is>
          <t xml:space="preserve">Marketing</t>
        </is>
      </c>
      <c r="D76" s="12">
        <f>SUM('Outlook actuals from the ledger'!D76:K76)</f>
        <v>0</v>
      </c>
      <c r="E76" s="12">
        <f>SUM('Budget (annual operating plan)'!D76:K76)</f>
        <v>0</v>
      </c>
      <c r="F76" s="12">
        <f>(D76-E76)</f>
        <v>0</v>
      </c>
      <c r="G76" s="12">
        <f>SUM('Outlook actuals from the ledger'!D76:O76)</f>
        <v>0</v>
      </c>
      <c r="H76" s="12">
        <f>SUM('Budget (annual operating plan)'!D76:O76)</f>
        <v>0</v>
      </c>
      <c r="I76" s="12">
        <f>(G76-H76)</f>
        <v>0</v>
      </c>
      <c r="J76" s="12">
        <f>IFERROR((I76/ABS(H76)),"")</f>
      </c>
    </row>
    <row r="77">
      <c r="A77" s="0" t="inlineStr">
        <is>
          <t xml:space="preserve">Contractors</t>
        </is>
      </c>
      <c r="B77" s="0" t="inlineStr">
        <is>
          <t xml:space="preserve">United States</t>
        </is>
      </c>
      <c r="C77" s="0" t="inlineStr">
        <is>
          <t xml:space="preserve">Engineering</t>
        </is>
      </c>
      <c r="D77" s="12">
        <f>SUM('Outlook actuals from the ledger'!D77:K77)</f>
        <v>-491954</v>
      </c>
      <c r="E77" s="12">
        <f>SUM('Budget (annual operating plan)'!D77:K77)</f>
        <v>-502900</v>
      </c>
      <c r="F77" s="12">
        <f>(D77-E77)</f>
        <v>10946</v>
      </c>
      <c r="G77" s="12">
        <f>SUM('Outlook actuals from the ledger'!D77:O77)</f>
        <v>-749445.8583314671</v>
      </c>
      <c r="H77" s="12">
        <f>SUM('Budget (annual operating plan)'!D77:O77)</f>
        <v>-760500</v>
      </c>
      <c r="I77" s="12">
        <f>(G77-H77)</f>
        <v>11054.141668532859</v>
      </c>
      <c r="J77" s="12">
        <f>IFERROR((I77/ABS(H77)),"")</f>
        <v>0.014535360510891333</v>
      </c>
    </row>
    <row r="78">
      <c r="A78" s="0" t="inlineStr">
        <is>
          <t xml:space="preserve">Contractors</t>
        </is>
      </c>
      <c r="B78" s="0" t="inlineStr">
        <is>
          <t xml:space="preserve">United States</t>
        </is>
      </c>
      <c r="C78" s="0" t="inlineStr">
        <is>
          <t xml:space="preserve">Customer success</t>
        </is>
      </c>
      <c r="D78" s="12">
        <f>SUM('Outlook actuals from the ledger'!D78:K78)</f>
        <v>0</v>
      </c>
      <c r="E78" s="12">
        <f>SUM('Budget (annual operating plan)'!D78:K78)</f>
        <v>0</v>
      </c>
      <c r="F78" s="12">
        <f>(D78-E78)</f>
        <v>0</v>
      </c>
      <c r="G78" s="12">
        <f>SUM('Outlook actuals from the ledger'!D78:O78)</f>
        <v>0</v>
      </c>
      <c r="H78" s="12">
        <f>SUM('Budget (annual operating plan)'!D78:O78)</f>
        <v>0</v>
      </c>
      <c r="I78" s="12">
        <f>(G78-H78)</f>
        <v>0</v>
      </c>
      <c r="J78" s="12">
        <f>IFERROR((I78/ABS(H78)),"")</f>
      </c>
    </row>
    <row r="79">
      <c r="A79" s="0" t="inlineStr">
        <is>
          <t xml:space="preserve">Contractors</t>
        </is>
      </c>
      <c r="B79" s="0" t="inlineStr">
        <is>
          <t xml:space="preserve">United States</t>
        </is>
      </c>
      <c r="C79" s="0" t="inlineStr">
        <is>
          <t xml:space="preserve">G&amp;A</t>
        </is>
      </c>
      <c r="D79" s="12">
        <f>SUM('Outlook actuals from the ledger'!D79:K79)</f>
        <v>0</v>
      </c>
      <c r="E79" s="12">
        <f>SUM('Budget (annual operating plan)'!D79:K79)</f>
        <v>0</v>
      </c>
      <c r="F79" s="12">
        <f>(D79-E79)</f>
        <v>0</v>
      </c>
      <c r="G79" s="12">
        <f>SUM('Outlook actuals from the ledger'!D79:O79)</f>
        <v>0</v>
      </c>
      <c r="H79" s="12">
        <f>SUM('Budget (annual operating plan)'!D79:O79)</f>
        <v>0</v>
      </c>
      <c r="I79" s="12">
        <f>(G79-H79)</f>
        <v>0</v>
      </c>
      <c r="J79" s="12">
        <f>IFERROR((I79/ABS(H79)),"")</f>
      </c>
    </row>
    <row r="80">
      <c r="A80" s="0" t="inlineStr">
        <is>
          <t xml:space="preserve">Contractors</t>
        </is>
      </c>
      <c r="B80" s="0" t="inlineStr">
        <is>
          <t xml:space="preserve">United Kingdom</t>
        </is>
      </c>
      <c r="C80" s="0" t="inlineStr">
        <is>
          <t xml:space="preserve">Company (revenue and cost of revenue)</t>
        </is>
      </c>
      <c r="D80" s="12">
        <f>SUM('Outlook actuals from the ledger'!D80:K80)</f>
        <v>0</v>
      </c>
      <c r="E80" s="12">
        <f>SUM('Budget (annual operating plan)'!D80:K80)</f>
        <v>0</v>
      </c>
      <c r="F80" s="12">
        <f>(D80-E80)</f>
        <v>0</v>
      </c>
      <c r="G80" s="12">
        <f>SUM('Outlook actuals from the ledger'!D80:O80)</f>
        <v>0</v>
      </c>
      <c r="H80" s="12">
        <f>SUM('Budget (annual operating plan)'!D80:O80)</f>
        <v>0</v>
      </c>
      <c r="I80" s="12">
        <f>(G80-H80)</f>
        <v>0</v>
      </c>
      <c r="J80" s="12">
        <f>IFERROR((I80/ABS(H80)),"")</f>
      </c>
    </row>
    <row r="81">
      <c r="A81" s="0" t="inlineStr">
        <is>
          <t xml:space="preserve">Contractors</t>
        </is>
      </c>
      <c r="B81" s="0" t="inlineStr">
        <is>
          <t xml:space="preserve">United Kingdom</t>
        </is>
      </c>
      <c r="C81" s="0" t="inlineStr">
        <is>
          <t xml:space="preserve">Sales</t>
        </is>
      </c>
      <c r="D81" s="12">
        <f>SUM('Outlook actuals from the ledger'!D81:K81)</f>
        <v>0</v>
      </c>
      <c r="E81" s="12">
        <f>SUM('Budget (annual operating plan)'!D81:K81)</f>
        <v>0</v>
      </c>
      <c r="F81" s="12">
        <f>(D81-E81)</f>
        <v>0</v>
      </c>
      <c r="G81" s="12">
        <f>SUM('Outlook actuals from the ledger'!D81:O81)</f>
        <v>0</v>
      </c>
      <c r="H81" s="12">
        <f>SUM('Budget (annual operating plan)'!D81:O81)</f>
        <v>0</v>
      </c>
      <c r="I81" s="12">
        <f>(G81-H81)</f>
        <v>0</v>
      </c>
      <c r="J81" s="12">
        <f>IFERROR((I81/ABS(H81)),"")</f>
      </c>
    </row>
    <row r="82">
      <c r="A82" s="0" t="inlineStr">
        <is>
          <t xml:space="preserve">Contractors</t>
        </is>
      </c>
      <c r="B82" s="0" t="inlineStr">
        <is>
          <t xml:space="preserve">United Kingdom</t>
        </is>
      </c>
      <c r="C82" s="0" t="inlineStr">
        <is>
          <t xml:space="preserve">Marketing</t>
        </is>
      </c>
      <c r="D82" s="12">
        <f>SUM('Outlook actuals from the ledger'!D82:K82)</f>
        <v>0</v>
      </c>
      <c r="E82" s="12">
        <f>SUM('Budget (annual operating plan)'!D82:K82)</f>
        <v>0</v>
      </c>
      <c r="F82" s="12">
        <f>(D82-E82)</f>
        <v>0</v>
      </c>
      <c r="G82" s="12">
        <f>SUM('Outlook actuals from the ledger'!D82:O82)</f>
        <v>0</v>
      </c>
      <c r="H82" s="12">
        <f>SUM('Budget (annual operating plan)'!D82:O82)</f>
        <v>0</v>
      </c>
      <c r="I82" s="12">
        <f>(G82-H82)</f>
        <v>0</v>
      </c>
      <c r="J82" s="12">
        <f>IFERROR((I82/ABS(H82)),"")</f>
      </c>
    </row>
    <row r="83">
      <c r="A83" s="0" t="inlineStr">
        <is>
          <t xml:space="preserve">Contractors</t>
        </is>
      </c>
      <c r="B83" s="0" t="inlineStr">
        <is>
          <t xml:space="preserve">United Kingdom</t>
        </is>
      </c>
      <c r="C83" s="0" t="inlineStr">
        <is>
          <t xml:space="preserve">Engineering</t>
        </is>
      </c>
      <c r="D83" s="12">
        <f>SUM('Outlook actuals from the ledger'!D83:K83)</f>
        <v>-208200</v>
      </c>
      <c r="E83" s="12">
        <f>SUM('Budget (annual operating plan)'!D83:K83)</f>
        <v>-211300</v>
      </c>
      <c r="F83" s="12">
        <f>(D83-E83)</f>
        <v>3100</v>
      </c>
      <c r="G83" s="12">
        <f>SUM('Outlook actuals from the ledger'!D83:O83)</f>
        <v>-310878.41102381324</v>
      </c>
      <c r="H83" s="12">
        <f>SUM('Budget (annual operating plan)'!D83:O83)</f>
        <v>-319500</v>
      </c>
      <c r="I83" s="12">
        <f>(G83-H83)</f>
        <v>8621.588976186758</v>
      </c>
      <c r="J83" s="12">
        <f>IFERROR((I83/ABS(H83)),"")</f>
        <v>0.026984629033448383</v>
      </c>
    </row>
    <row r="84">
      <c r="A84" s="0" t="inlineStr">
        <is>
          <t xml:space="preserve">Contractors</t>
        </is>
      </c>
      <c r="B84" s="0" t="inlineStr">
        <is>
          <t xml:space="preserve">United Kingdom</t>
        </is>
      </c>
      <c r="C84" s="0" t="inlineStr">
        <is>
          <t xml:space="preserve">Customer success</t>
        </is>
      </c>
      <c r="D84" s="12">
        <f>SUM('Outlook actuals from the ledger'!D84:K84)</f>
        <v>0</v>
      </c>
      <c r="E84" s="12">
        <f>SUM('Budget (annual operating plan)'!D84:K84)</f>
        <v>0</v>
      </c>
      <c r="F84" s="12">
        <f>(D84-E84)</f>
        <v>0</v>
      </c>
      <c r="G84" s="12">
        <f>SUM('Outlook actuals from the ledger'!D84:O84)</f>
        <v>0</v>
      </c>
      <c r="H84" s="12">
        <f>SUM('Budget (annual operating plan)'!D84:O84)</f>
        <v>0</v>
      </c>
      <c r="I84" s="12">
        <f>(G84-H84)</f>
        <v>0</v>
      </c>
      <c r="J84" s="12">
        <f>IFERROR((I84/ABS(H84)),"")</f>
      </c>
    </row>
    <row r="85">
      <c r="A85" s="0" t="inlineStr">
        <is>
          <t xml:space="preserve">Contractors</t>
        </is>
      </c>
      <c r="B85" s="0" t="inlineStr">
        <is>
          <t xml:space="preserve">United Kingdom</t>
        </is>
      </c>
      <c r="C85" s="0" t="inlineStr">
        <is>
          <t xml:space="preserve">G&amp;A</t>
        </is>
      </c>
      <c r="D85" s="12">
        <f>SUM('Outlook actuals from the ledger'!D85:K85)</f>
        <v>0</v>
      </c>
      <c r="E85" s="12">
        <f>SUM('Budget (annual operating plan)'!D85:K85)</f>
        <v>0</v>
      </c>
      <c r="F85" s="12">
        <f>(D85-E85)</f>
        <v>0</v>
      </c>
      <c r="G85" s="12">
        <f>SUM('Outlook actuals from the ledger'!D85:O85)</f>
        <v>0</v>
      </c>
      <c r="H85" s="12">
        <f>SUM('Budget (annual operating plan)'!D85:O85)</f>
        <v>0</v>
      </c>
      <c r="I85" s="12">
        <f>(G85-H85)</f>
        <v>0</v>
      </c>
      <c r="J85" s="12">
        <f>IFERROR((I85/ABS(H85)),"")</f>
      </c>
    </row>
    <row r="86">
      <c r="A86" s="0" t="inlineStr">
        <is>
          <t xml:space="preserve">Cloud and infrastructure</t>
        </is>
      </c>
      <c r="B86" s="0" t="inlineStr">
        <is>
          <t xml:space="preserve">United States</t>
        </is>
      </c>
      <c r="C86" s="0" t="inlineStr">
        <is>
          <t xml:space="preserve">Company (revenue and cost of revenue)</t>
        </is>
      </c>
      <c r="D86" s="12">
        <f>SUM('Outlook actuals from the ledger'!D86:K86)</f>
        <v>0</v>
      </c>
      <c r="E86" s="12">
        <f>SUM('Budget (annual operating plan)'!D86:K86)</f>
        <v>0</v>
      </c>
      <c r="F86" s="12">
        <f>(D86-E86)</f>
        <v>0</v>
      </c>
      <c r="G86" s="12">
        <f>SUM('Outlook actuals from the ledger'!D86:O86)</f>
        <v>0</v>
      </c>
      <c r="H86" s="12">
        <f>SUM('Budget (annual operating plan)'!D86:O86)</f>
        <v>0</v>
      </c>
      <c r="I86" s="12">
        <f>(G86-H86)</f>
        <v>0</v>
      </c>
      <c r="J86" s="12">
        <f>IFERROR((I86/ABS(H86)),"")</f>
      </c>
    </row>
    <row r="87">
      <c r="A87" s="0" t="inlineStr">
        <is>
          <t xml:space="preserve">Cloud and infrastructure</t>
        </is>
      </c>
      <c r="B87" s="0" t="inlineStr">
        <is>
          <t xml:space="preserve">United States</t>
        </is>
      </c>
      <c r="C87" s="0" t="inlineStr">
        <is>
          <t xml:space="preserve">Sales</t>
        </is>
      </c>
      <c r="D87" s="12">
        <f>SUM('Outlook actuals from the ledger'!D87:K87)</f>
        <v>0</v>
      </c>
      <c r="E87" s="12">
        <f>SUM('Budget (annual operating plan)'!D87:K87)</f>
        <v>0</v>
      </c>
      <c r="F87" s="12">
        <f>(D87-E87)</f>
        <v>0</v>
      </c>
      <c r="G87" s="12">
        <f>SUM('Outlook actuals from the ledger'!D87:O87)</f>
        <v>0</v>
      </c>
      <c r="H87" s="12">
        <f>SUM('Budget (annual operating plan)'!D87:O87)</f>
        <v>0</v>
      </c>
      <c r="I87" s="12">
        <f>(G87-H87)</f>
        <v>0</v>
      </c>
      <c r="J87" s="12">
        <f>IFERROR((I87/ABS(H87)),"")</f>
      </c>
    </row>
    <row r="88">
      <c r="A88" s="0" t="inlineStr">
        <is>
          <t xml:space="preserve">Cloud and infrastructure</t>
        </is>
      </c>
      <c r="B88" s="0" t="inlineStr">
        <is>
          <t xml:space="preserve">United States</t>
        </is>
      </c>
      <c r="C88" s="0" t="inlineStr">
        <is>
          <t xml:space="preserve">Marketing</t>
        </is>
      </c>
      <c r="D88" s="12">
        <f>SUM('Outlook actuals from the ledger'!D88:K88)</f>
        <v>0</v>
      </c>
      <c r="E88" s="12">
        <f>SUM('Budget (annual operating plan)'!D88:K88)</f>
        <v>0</v>
      </c>
      <c r="F88" s="12">
        <f>(D88-E88)</f>
        <v>0</v>
      </c>
      <c r="G88" s="12">
        <f>SUM('Outlook actuals from the ledger'!D88:O88)</f>
        <v>0</v>
      </c>
      <c r="H88" s="12">
        <f>SUM('Budget (annual operating plan)'!D88:O88)</f>
        <v>0</v>
      </c>
      <c r="I88" s="12">
        <f>(G88-H88)</f>
        <v>0</v>
      </c>
      <c r="J88" s="12">
        <f>IFERROR((I88/ABS(H88)),"")</f>
      </c>
    </row>
    <row r="89">
      <c r="A89" s="0" t="inlineStr">
        <is>
          <t xml:space="preserve">Cloud and infrastructure</t>
        </is>
      </c>
      <c r="B89" s="0" t="inlineStr">
        <is>
          <t xml:space="preserve">United States</t>
        </is>
      </c>
      <c r="C89" s="0" t="inlineStr">
        <is>
          <t xml:space="preserve">Engineering</t>
        </is>
      </c>
      <c r="D89" s="12">
        <f>SUM('Outlook actuals from the ledger'!D89:K89)</f>
        <v>-3195620</v>
      </c>
      <c r="E89" s="12">
        <f>SUM('Budget (annual operating plan)'!D89:K89)</f>
        <v>-2699400</v>
      </c>
      <c r="F89" s="12">
        <f>(D89-E89)</f>
        <v>-496220</v>
      </c>
      <c r="G89" s="12">
        <f>SUM('Outlook actuals from the ledger'!D89:O89)</f>
        <v>-4891610.713581709</v>
      </c>
      <c r="H89" s="12">
        <f>SUM('Budget (annual operating plan)'!D89:O89)</f>
        <v>-4295300</v>
      </c>
      <c r="I89" s="12">
        <f>(G89-H89)</f>
        <v>-596310.7135817092</v>
      </c>
      <c r="J89" s="12">
        <f>IFERROR((I89/ABS(H89)),"")</f>
        <v>-0.1388286530816728</v>
      </c>
    </row>
    <row r="90">
      <c r="A90" s="0" t="inlineStr">
        <is>
          <t xml:space="preserve">Cloud and infrastructure</t>
        </is>
      </c>
      <c r="B90" s="0" t="inlineStr">
        <is>
          <t xml:space="preserve">United States</t>
        </is>
      </c>
      <c r="C90" s="0" t="inlineStr">
        <is>
          <t xml:space="preserve">Customer success</t>
        </is>
      </c>
      <c r="D90" s="12">
        <f>SUM('Outlook actuals from the ledger'!D90:K90)</f>
        <v>0</v>
      </c>
      <c r="E90" s="12">
        <f>SUM('Budget (annual operating plan)'!D90:K90)</f>
        <v>0</v>
      </c>
      <c r="F90" s="12">
        <f>(D90-E90)</f>
        <v>0</v>
      </c>
      <c r="G90" s="12">
        <f>SUM('Outlook actuals from the ledger'!D90:O90)</f>
        <v>0</v>
      </c>
      <c r="H90" s="12">
        <f>SUM('Budget (annual operating plan)'!D90:O90)</f>
        <v>0</v>
      </c>
      <c r="I90" s="12">
        <f>(G90-H90)</f>
        <v>0</v>
      </c>
      <c r="J90" s="12">
        <f>IFERROR((I90/ABS(H90)),"")</f>
      </c>
    </row>
    <row r="91">
      <c r="A91" s="0" t="inlineStr">
        <is>
          <t xml:space="preserve">Cloud and infrastructure</t>
        </is>
      </c>
      <c r="B91" s="0" t="inlineStr">
        <is>
          <t xml:space="preserve">United States</t>
        </is>
      </c>
      <c r="C91" s="0" t="inlineStr">
        <is>
          <t xml:space="preserve">G&amp;A</t>
        </is>
      </c>
      <c r="D91" s="12">
        <f>SUM('Outlook actuals from the ledger'!D91:K91)</f>
        <v>0</v>
      </c>
      <c r="E91" s="12">
        <f>SUM('Budget (annual operating plan)'!D91:K91)</f>
        <v>0</v>
      </c>
      <c r="F91" s="12">
        <f>(D91-E91)</f>
        <v>0</v>
      </c>
      <c r="G91" s="12">
        <f>SUM('Outlook actuals from the ledger'!D91:O91)</f>
        <v>0</v>
      </c>
      <c r="H91" s="12">
        <f>SUM('Budget (annual operating plan)'!D91:O91)</f>
        <v>0</v>
      </c>
      <c r="I91" s="12">
        <f>(G91-H91)</f>
        <v>0</v>
      </c>
      <c r="J91" s="12">
        <f>IFERROR((I91/ABS(H91)),"")</f>
      </c>
    </row>
    <row r="92">
      <c r="A92" s="0" t="inlineStr">
        <is>
          <t xml:space="preserve">Cloud and infrastructure</t>
        </is>
      </c>
      <c r="B92" s="0" t="inlineStr">
        <is>
          <t xml:space="preserve">United Kingdom</t>
        </is>
      </c>
      <c r="C92" s="0" t="inlineStr">
        <is>
          <t xml:space="preserve">Company (revenue and cost of revenue)</t>
        </is>
      </c>
      <c r="D92" s="12">
        <f>SUM('Outlook actuals from the ledger'!D92:K92)</f>
        <v>0</v>
      </c>
      <c r="E92" s="12">
        <f>SUM('Budget (annual operating plan)'!D92:K92)</f>
        <v>0</v>
      </c>
      <c r="F92" s="12">
        <f>(D92-E92)</f>
        <v>0</v>
      </c>
      <c r="G92" s="12">
        <f>SUM('Outlook actuals from the ledger'!D92:O92)</f>
        <v>0</v>
      </c>
      <c r="H92" s="12">
        <f>SUM('Budget (annual operating plan)'!D92:O92)</f>
        <v>0</v>
      </c>
      <c r="I92" s="12">
        <f>(G92-H92)</f>
        <v>0</v>
      </c>
      <c r="J92" s="12">
        <f>IFERROR((I92/ABS(H92)),"")</f>
      </c>
    </row>
    <row r="93">
      <c r="A93" s="0" t="inlineStr">
        <is>
          <t xml:space="preserve">Cloud and infrastructure</t>
        </is>
      </c>
      <c r="B93" s="0" t="inlineStr">
        <is>
          <t xml:space="preserve">United Kingdom</t>
        </is>
      </c>
      <c r="C93" s="0" t="inlineStr">
        <is>
          <t xml:space="preserve">Sales</t>
        </is>
      </c>
      <c r="D93" s="12">
        <f>SUM('Outlook actuals from the ledger'!D93:K93)</f>
        <v>0</v>
      </c>
      <c r="E93" s="12">
        <f>SUM('Budget (annual operating plan)'!D93:K93)</f>
        <v>0</v>
      </c>
      <c r="F93" s="12">
        <f>(D93-E93)</f>
        <v>0</v>
      </c>
      <c r="G93" s="12">
        <f>SUM('Outlook actuals from the ledger'!D93:O93)</f>
        <v>0</v>
      </c>
      <c r="H93" s="12">
        <f>SUM('Budget (annual operating plan)'!D93:O93)</f>
        <v>0</v>
      </c>
      <c r="I93" s="12">
        <f>(G93-H93)</f>
        <v>0</v>
      </c>
      <c r="J93" s="12">
        <f>IFERROR((I93/ABS(H93)),"")</f>
      </c>
    </row>
    <row r="94">
      <c r="A94" s="0" t="inlineStr">
        <is>
          <t xml:space="preserve">Cloud and infrastructure</t>
        </is>
      </c>
      <c r="B94" s="0" t="inlineStr">
        <is>
          <t xml:space="preserve">United Kingdom</t>
        </is>
      </c>
      <c r="C94" s="0" t="inlineStr">
        <is>
          <t xml:space="preserve">Marketing</t>
        </is>
      </c>
      <c r="D94" s="12">
        <f>SUM('Outlook actuals from the ledger'!D94:K94)</f>
        <v>0</v>
      </c>
      <c r="E94" s="12">
        <f>SUM('Budget (annual operating plan)'!D94:K94)</f>
        <v>0</v>
      </c>
      <c r="F94" s="12">
        <f>(D94-E94)</f>
        <v>0</v>
      </c>
      <c r="G94" s="12">
        <f>SUM('Outlook actuals from the ledger'!D94:O94)</f>
        <v>0</v>
      </c>
      <c r="H94" s="12">
        <f>SUM('Budget (annual operating plan)'!D94:O94)</f>
        <v>0</v>
      </c>
      <c r="I94" s="12">
        <f>(G94-H94)</f>
        <v>0</v>
      </c>
      <c r="J94" s="12">
        <f>IFERROR((I94/ABS(H94)),"")</f>
      </c>
    </row>
    <row r="95">
      <c r="A95" s="0" t="inlineStr">
        <is>
          <t xml:space="preserve">Cloud and infrastructure</t>
        </is>
      </c>
      <c r="B95" s="0" t="inlineStr">
        <is>
          <t xml:space="preserve">United Kingdom</t>
        </is>
      </c>
      <c r="C95" s="0" t="inlineStr">
        <is>
          <t xml:space="preserve">Engineering</t>
        </is>
      </c>
      <c r="D95" s="12">
        <f>SUM('Outlook actuals from the ledger'!D95:K95)</f>
        <v>-1295099</v>
      </c>
      <c r="E95" s="12">
        <f>SUM('Budget (annual operating plan)'!D95:K95)</f>
        <v>-1133800</v>
      </c>
      <c r="F95" s="12">
        <f>(D95-E95)</f>
        <v>-161299</v>
      </c>
      <c r="G95" s="12">
        <f>SUM('Outlook actuals from the ledger'!D95:O95)</f>
        <v>-2020498.2551977502</v>
      </c>
      <c r="H95" s="12">
        <f>SUM('Budget (annual operating plan)'!D95:O95)</f>
        <v>-1804000</v>
      </c>
      <c r="I95" s="12">
        <f>(G95-H95)</f>
        <v>-216498.25519775017</v>
      </c>
      <c r="J95" s="12">
        <f>IFERROR((I95/ABS(H95)),"")</f>
        <v>-0.1200101192892185</v>
      </c>
    </row>
    <row r="96">
      <c r="A96" s="0" t="inlineStr">
        <is>
          <t xml:space="preserve">Cloud and infrastructure</t>
        </is>
      </c>
      <c r="B96" s="0" t="inlineStr">
        <is>
          <t xml:space="preserve">United Kingdom</t>
        </is>
      </c>
      <c r="C96" s="0" t="inlineStr">
        <is>
          <t xml:space="preserve">Customer success</t>
        </is>
      </c>
      <c r="D96" s="12">
        <f>SUM('Outlook actuals from the ledger'!D96:K96)</f>
        <v>0</v>
      </c>
      <c r="E96" s="12">
        <f>SUM('Budget (annual operating plan)'!D96:K96)</f>
        <v>0</v>
      </c>
      <c r="F96" s="12">
        <f>(D96-E96)</f>
        <v>0</v>
      </c>
      <c r="G96" s="12">
        <f>SUM('Outlook actuals from the ledger'!D96:O96)</f>
        <v>0</v>
      </c>
      <c r="H96" s="12">
        <f>SUM('Budget (annual operating plan)'!D96:O96)</f>
        <v>0</v>
      </c>
      <c r="I96" s="12">
        <f>(G96-H96)</f>
        <v>0</v>
      </c>
      <c r="J96" s="12">
        <f>IFERROR((I96/ABS(H96)),"")</f>
      </c>
    </row>
    <row r="97">
      <c r="A97" s="0" t="inlineStr">
        <is>
          <t xml:space="preserve">Cloud and infrastructure</t>
        </is>
      </c>
      <c r="B97" s="0" t="inlineStr">
        <is>
          <t xml:space="preserve">United Kingdom</t>
        </is>
      </c>
      <c r="C97" s="0" t="inlineStr">
        <is>
          <t xml:space="preserve">G&amp;A</t>
        </is>
      </c>
      <c r="D97" s="12">
        <f>SUM('Outlook actuals from the ledger'!D97:K97)</f>
        <v>0</v>
      </c>
      <c r="E97" s="12">
        <f>SUM('Budget (annual operating plan)'!D97:K97)</f>
        <v>0</v>
      </c>
      <c r="F97" s="12">
        <f>(D97-E97)</f>
        <v>0</v>
      </c>
      <c r="G97" s="12">
        <f>SUM('Outlook actuals from the ledger'!D97:O97)</f>
        <v>0</v>
      </c>
      <c r="H97" s="12">
        <f>SUM('Budget (annual operating plan)'!D97:O97)</f>
        <v>0</v>
      </c>
      <c r="I97" s="12">
        <f>(G97-H97)</f>
        <v>0</v>
      </c>
      <c r="J97" s="12">
        <f>IFERROR((I97/ABS(H97)),"")</f>
      </c>
    </row>
    <row r="98">
      <c r="A98" s="0" t="inlineStr">
        <is>
          <t xml:space="preserve">Marketing programs</t>
        </is>
      </c>
      <c r="B98" s="0" t="inlineStr">
        <is>
          <t xml:space="preserve">United States</t>
        </is>
      </c>
      <c r="C98" s="0" t="inlineStr">
        <is>
          <t xml:space="preserve">Company (revenue and cost of revenue)</t>
        </is>
      </c>
      <c r="D98" s="12">
        <f>SUM('Outlook actuals from the ledger'!D98:K98)</f>
        <v>0</v>
      </c>
      <c r="E98" s="12">
        <f>SUM('Budget (annual operating plan)'!D98:K98)</f>
        <v>0</v>
      </c>
      <c r="F98" s="12">
        <f>(D98-E98)</f>
        <v>0</v>
      </c>
      <c r="G98" s="12">
        <f>SUM('Outlook actuals from the ledger'!D98:O98)</f>
        <v>0</v>
      </c>
      <c r="H98" s="12">
        <f>SUM('Budget (annual operating plan)'!D98:O98)</f>
        <v>0</v>
      </c>
      <c r="I98" s="12">
        <f>(G98-H98)</f>
        <v>0</v>
      </c>
      <c r="J98" s="12">
        <f>IFERROR((I98/ABS(H98)),"")</f>
      </c>
    </row>
    <row r="99">
      <c r="A99" s="0" t="inlineStr">
        <is>
          <t xml:space="preserve">Marketing programs</t>
        </is>
      </c>
      <c r="B99" s="0" t="inlineStr">
        <is>
          <t xml:space="preserve">United States</t>
        </is>
      </c>
      <c r="C99" s="0" t="inlineStr">
        <is>
          <t xml:space="preserve">Sales</t>
        </is>
      </c>
      <c r="D99" s="12">
        <f>SUM('Outlook actuals from the ledger'!D99:K99)</f>
        <v>0</v>
      </c>
      <c r="E99" s="12">
        <f>SUM('Budget (annual operating plan)'!D99:K99)</f>
        <v>0</v>
      </c>
      <c r="F99" s="12">
        <f>(D99-E99)</f>
        <v>0</v>
      </c>
      <c r="G99" s="12">
        <f>SUM('Outlook actuals from the ledger'!D99:O99)</f>
        <v>0</v>
      </c>
      <c r="H99" s="12">
        <f>SUM('Budget (annual operating plan)'!D99:O99)</f>
        <v>0</v>
      </c>
      <c r="I99" s="12">
        <f>(G99-H99)</f>
        <v>0</v>
      </c>
      <c r="J99" s="12">
        <f>IFERROR((I99/ABS(H99)),"")</f>
      </c>
    </row>
    <row r="100">
      <c r="A100" s="0" t="inlineStr">
        <is>
          <t xml:space="preserve">Marketing programs</t>
        </is>
      </c>
      <c r="B100" s="0" t="inlineStr">
        <is>
          <t xml:space="preserve">United States</t>
        </is>
      </c>
      <c r="C100" s="0" t="inlineStr">
        <is>
          <t xml:space="preserve">Marketing</t>
        </is>
      </c>
      <c r="D100" s="12">
        <f>SUM('Outlook actuals from the ledger'!D100:K100)</f>
        <v>-2912888</v>
      </c>
      <c r="E100" s="12">
        <f>SUM('Budget (annual operating plan)'!D100:K100)</f>
        <v>-2879400</v>
      </c>
      <c r="F100" s="12">
        <f>(D100-E100)</f>
        <v>-33488</v>
      </c>
      <c r="G100" s="12">
        <f>SUM('Outlook actuals from the ledger'!D100:O100)</f>
        <v>-4494542.2609806955</v>
      </c>
      <c r="H100" s="12">
        <f>SUM('Budget (annual operating plan)'!D100:O100)</f>
        <v>-4581600</v>
      </c>
      <c r="I100" s="12">
        <f>(G100-H100)</f>
        <v>87057.73901930451</v>
      </c>
      <c r="J100" s="12">
        <f>IFERROR((I100/ABS(H100)),"")</f>
        <v>0.0190016018463647</v>
      </c>
    </row>
    <row r="101">
      <c r="A101" s="0" t="inlineStr">
        <is>
          <t xml:space="preserve">Marketing programs</t>
        </is>
      </c>
      <c r="B101" s="0" t="inlineStr">
        <is>
          <t xml:space="preserve">United States</t>
        </is>
      </c>
      <c r="C101" s="0" t="inlineStr">
        <is>
          <t xml:space="preserve">Engineering</t>
        </is>
      </c>
      <c r="D101" s="12">
        <f>SUM('Outlook actuals from the ledger'!D101:K101)</f>
        <v>0</v>
      </c>
      <c r="E101" s="12">
        <f>SUM('Budget (annual operating plan)'!D101:K101)</f>
        <v>0</v>
      </c>
      <c r="F101" s="12">
        <f>(D101-E101)</f>
        <v>0</v>
      </c>
      <c r="G101" s="12">
        <f>SUM('Outlook actuals from the ledger'!D101:O101)</f>
        <v>0</v>
      </c>
      <c r="H101" s="12">
        <f>SUM('Budget (annual operating plan)'!D101:O101)</f>
        <v>0</v>
      </c>
      <c r="I101" s="12">
        <f>(G101-H101)</f>
        <v>0</v>
      </c>
      <c r="J101" s="12">
        <f>IFERROR((I101/ABS(H101)),"")</f>
      </c>
    </row>
    <row r="102">
      <c r="A102" s="0" t="inlineStr">
        <is>
          <t xml:space="preserve">Marketing programs</t>
        </is>
      </c>
      <c r="B102" s="0" t="inlineStr">
        <is>
          <t xml:space="preserve">United States</t>
        </is>
      </c>
      <c r="C102" s="0" t="inlineStr">
        <is>
          <t xml:space="preserve">Customer success</t>
        </is>
      </c>
      <c r="D102" s="12">
        <f>SUM('Outlook actuals from the ledger'!D102:K102)</f>
        <v>0</v>
      </c>
      <c r="E102" s="12">
        <f>SUM('Budget (annual operating plan)'!D102:K102)</f>
        <v>0</v>
      </c>
      <c r="F102" s="12">
        <f>(D102-E102)</f>
        <v>0</v>
      </c>
      <c r="G102" s="12">
        <f>SUM('Outlook actuals from the ledger'!D102:O102)</f>
        <v>0</v>
      </c>
      <c r="H102" s="12">
        <f>SUM('Budget (annual operating plan)'!D102:O102)</f>
        <v>0</v>
      </c>
      <c r="I102" s="12">
        <f>(G102-H102)</f>
        <v>0</v>
      </c>
      <c r="J102" s="12">
        <f>IFERROR((I102/ABS(H102)),"")</f>
      </c>
    </row>
    <row r="103">
      <c r="A103" s="0" t="inlineStr">
        <is>
          <t xml:space="preserve">Marketing programs</t>
        </is>
      </c>
      <c r="B103" s="0" t="inlineStr">
        <is>
          <t xml:space="preserve">United States</t>
        </is>
      </c>
      <c r="C103" s="0" t="inlineStr">
        <is>
          <t xml:space="preserve">G&amp;A</t>
        </is>
      </c>
      <c r="D103" s="12">
        <f>SUM('Outlook actuals from the ledger'!D103:K103)</f>
        <v>0</v>
      </c>
      <c r="E103" s="12">
        <f>SUM('Budget (annual operating plan)'!D103:K103)</f>
        <v>0</v>
      </c>
      <c r="F103" s="12">
        <f>(D103-E103)</f>
        <v>0</v>
      </c>
      <c r="G103" s="12">
        <f>SUM('Outlook actuals from the ledger'!D103:O103)</f>
        <v>0</v>
      </c>
      <c r="H103" s="12">
        <f>SUM('Budget (annual operating plan)'!D103:O103)</f>
        <v>0</v>
      </c>
      <c r="I103" s="12">
        <f>(G103-H103)</f>
        <v>0</v>
      </c>
      <c r="J103" s="12">
        <f>IFERROR((I103/ABS(H103)),"")</f>
      </c>
    </row>
    <row r="104">
      <c r="A104" s="0" t="inlineStr">
        <is>
          <t xml:space="preserve">Marketing programs</t>
        </is>
      </c>
      <c r="B104" s="0" t="inlineStr">
        <is>
          <t xml:space="preserve">United Kingdom</t>
        </is>
      </c>
      <c r="C104" s="0" t="inlineStr">
        <is>
          <t xml:space="preserve">Company (revenue and cost of revenue)</t>
        </is>
      </c>
      <c r="D104" s="12">
        <f>SUM('Outlook actuals from the ledger'!D104:K104)</f>
        <v>0</v>
      </c>
      <c r="E104" s="12">
        <f>SUM('Budget (annual operating plan)'!D104:K104)</f>
        <v>0</v>
      </c>
      <c r="F104" s="12">
        <f>(D104-E104)</f>
        <v>0</v>
      </c>
      <c r="G104" s="12">
        <f>SUM('Outlook actuals from the ledger'!D104:O104)</f>
        <v>0</v>
      </c>
      <c r="H104" s="12">
        <f>SUM('Budget (annual operating plan)'!D104:O104)</f>
        <v>0</v>
      </c>
      <c r="I104" s="12">
        <f>(G104-H104)</f>
        <v>0</v>
      </c>
      <c r="J104" s="12">
        <f>IFERROR((I104/ABS(H104)),"")</f>
      </c>
    </row>
    <row r="105">
      <c r="A105" s="0" t="inlineStr">
        <is>
          <t xml:space="preserve">Marketing programs</t>
        </is>
      </c>
      <c r="B105" s="0" t="inlineStr">
        <is>
          <t xml:space="preserve">United Kingdom</t>
        </is>
      </c>
      <c r="C105" s="0" t="inlineStr">
        <is>
          <t xml:space="preserve">Sales</t>
        </is>
      </c>
      <c r="D105" s="12">
        <f>SUM('Outlook actuals from the ledger'!D105:K105)</f>
        <v>0</v>
      </c>
      <c r="E105" s="12">
        <f>SUM('Budget (annual operating plan)'!D105:K105)</f>
        <v>0</v>
      </c>
      <c r="F105" s="12">
        <f>(D105-E105)</f>
        <v>0</v>
      </c>
      <c r="G105" s="12">
        <f>SUM('Outlook actuals from the ledger'!D105:O105)</f>
        <v>0</v>
      </c>
      <c r="H105" s="12">
        <f>SUM('Budget (annual operating plan)'!D105:O105)</f>
        <v>0</v>
      </c>
      <c r="I105" s="12">
        <f>(G105-H105)</f>
        <v>0</v>
      </c>
      <c r="J105" s="12">
        <f>IFERROR((I105/ABS(H105)),"")</f>
      </c>
    </row>
    <row r="106">
      <c r="A106" s="0" t="inlineStr">
        <is>
          <t xml:space="preserve">Marketing programs</t>
        </is>
      </c>
      <c r="B106" s="0" t="inlineStr">
        <is>
          <t xml:space="preserve">United Kingdom</t>
        </is>
      </c>
      <c r="C106" s="0" t="inlineStr">
        <is>
          <t xml:space="preserve">Marketing</t>
        </is>
      </c>
      <c r="D106" s="12">
        <f>SUM('Outlook actuals from the ledger'!D106:K106)</f>
        <v>-1235903</v>
      </c>
      <c r="E106" s="12">
        <f>SUM('Budget (annual operating plan)'!D106:K106)</f>
        <v>-1209300</v>
      </c>
      <c r="F106" s="12">
        <f>(D106-E106)</f>
        <v>-26603</v>
      </c>
      <c r="G106" s="12">
        <f>SUM('Outlook actuals from the ledger'!D106:O106)</f>
        <v>-1912398.934622621</v>
      </c>
      <c r="H106" s="12">
        <f>SUM('Budget (annual operating plan)'!D106:O106)</f>
        <v>-1924200</v>
      </c>
      <c r="I106" s="12">
        <f>(G106-H106)</f>
        <v>11801.06537737907</v>
      </c>
      <c r="J106" s="12">
        <f>IFERROR((I106/ABS(H106)),"")</f>
        <v>0.006132972340390328</v>
      </c>
    </row>
    <row r="107">
      <c r="A107" s="0" t="inlineStr">
        <is>
          <t xml:space="preserve">Marketing programs</t>
        </is>
      </c>
      <c r="B107" s="0" t="inlineStr">
        <is>
          <t xml:space="preserve">United Kingdom</t>
        </is>
      </c>
      <c r="C107" s="0" t="inlineStr">
        <is>
          <t xml:space="preserve">Engineering</t>
        </is>
      </c>
      <c r="D107" s="12">
        <f>SUM('Outlook actuals from the ledger'!D107:K107)</f>
        <v>0</v>
      </c>
      <c r="E107" s="12">
        <f>SUM('Budget (annual operating plan)'!D107:K107)</f>
        <v>0</v>
      </c>
      <c r="F107" s="12">
        <f>(D107-E107)</f>
        <v>0</v>
      </c>
      <c r="G107" s="12">
        <f>SUM('Outlook actuals from the ledger'!D107:O107)</f>
        <v>0</v>
      </c>
      <c r="H107" s="12">
        <f>SUM('Budget (annual operating plan)'!D107:O107)</f>
        <v>0</v>
      </c>
      <c r="I107" s="12">
        <f>(G107-H107)</f>
        <v>0</v>
      </c>
      <c r="J107" s="12">
        <f>IFERROR((I107/ABS(H107)),"")</f>
      </c>
    </row>
    <row r="108">
      <c r="A108" s="0" t="inlineStr">
        <is>
          <t xml:space="preserve">Marketing programs</t>
        </is>
      </c>
      <c r="B108" s="0" t="inlineStr">
        <is>
          <t xml:space="preserve">United Kingdom</t>
        </is>
      </c>
      <c r="C108" s="0" t="inlineStr">
        <is>
          <t xml:space="preserve">Customer success</t>
        </is>
      </c>
      <c r="D108" s="12">
        <f>SUM('Outlook actuals from the ledger'!D108:K108)</f>
        <v>0</v>
      </c>
      <c r="E108" s="12">
        <f>SUM('Budget (annual operating plan)'!D108:K108)</f>
        <v>0</v>
      </c>
      <c r="F108" s="12">
        <f>(D108-E108)</f>
        <v>0</v>
      </c>
      <c r="G108" s="12">
        <f>SUM('Outlook actuals from the ledger'!D108:O108)</f>
        <v>0</v>
      </c>
      <c r="H108" s="12">
        <f>SUM('Budget (annual operating plan)'!D108:O108)</f>
        <v>0</v>
      </c>
      <c r="I108" s="12">
        <f>(G108-H108)</f>
        <v>0</v>
      </c>
      <c r="J108" s="12">
        <f>IFERROR((I108/ABS(H108)),"")</f>
      </c>
    </row>
    <row r="109">
      <c r="A109" s="0" t="inlineStr">
        <is>
          <t xml:space="preserve">Marketing programs</t>
        </is>
      </c>
      <c r="B109" s="0" t="inlineStr">
        <is>
          <t xml:space="preserve">United Kingdom</t>
        </is>
      </c>
      <c r="C109" s="0" t="inlineStr">
        <is>
          <t xml:space="preserve">G&amp;A</t>
        </is>
      </c>
      <c r="D109" s="12">
        <f>SUM('Outlook actuals from the ledger'!D109:K109)</f>
        <v>0</v>
      </c>
      <c r="E109" s="12">
        <f>SUM('Budget (annual operating plan)'!D109:K109)</f>
        <v>0</v>
      </c>
      <c r="F109" s="12">
        <f>(D109-E109)</f>
        <v>0</v>
      </c>
      <c r="G109" s="12">
        <f>SUM('Outlook actuals from the ledger'!D109:O109)</f>
        <v>0</v>
      </c>
      <c r="H109" s="12">
        <f>SUM('Budget (annual operating plan)'!D109:O109)</f>
        <v>0</v>
      </c>
      <c r="I109" s="12">
        <f>(G109-H109)</f>
        <v>0</v>
      </c>
      <c r="J109" s="12">
        <f>IFERROR((I109/ABS(H109)),"")</f>
      </c>
    </row>
    <row r="110">
      <c r="A110" s="0" t="inlineStr">
        <is>
          <t xml:space="preserve">Software and tools</t>
        </is>
      </c>
      <c r="B110" s="0" t="inlineStr">
        <is>
          <t xml:space="preserve">United States</t>
        </is>
      </c>
      <c r="C110" s="0" t="inlineStr">
        <is>
          <t xml:space="preserve">Company (revenue and cost of revenue)</t>
        </is>
      </c>
      <c r="D110" s="12">
        <f>SUM('Outlook actuals from the ledger'!D110:K110)</f>
        <v>0</v>
      </c>
      <c r="E110" s="12">
        <f>SUM('Budget (annual operating plan)'!D110:K110)</f>
        <v>0</v>
      </c>
      <c r="F110" s="12">
        <f>(D110-E110)</f>
        <v>0</v>
      </c>
      <c r="G110" s="12">
        <f>SUM('Outlook actuals from the ledger'!D110:O110)</f>
        <v>0</v>
      </c>
      <c r="H110" s="12">
        <f>SUM('Budget (annual operating plan)'!D110:O110)</f>
        <v>0</v>
      </c>
      <c r="I110" s="12">
        <f>(G110-H110)</f>
        <v>0</v>
      </c>
      <c r="J110" s="12">
        <f>IFERROR((I110/ABS(H110)),"")</f>
      </c>
    </row>
    <row r="111">
      <c r="A111" s="0" t="inlineStr">
        <is>
          <t xml:space="preserve">Software and tools</t>
        </is>
      </c>
      <c r="B111" s="0" t="inlineStr">
        <is>
          <t xml:space="preserve">United States</t>
        </is>
      </c>
      <c r="C111" s="0" t="inlineStr">
        <is>
          <t xml:space="preserve">Sales</t>
        </is>
      </c>
      <c r="D111" s="12">
        <f>SUM('Outlook actuals from the ledger'!D111:K111)</f>
        <v>-74243</v>
      </c>
      <c r="E111" s="12">
        <f>SUM('Budget (annual operating plan)'!D111:K111)</f>
        <v>-73000</v>
      </c>
      <c r="F111" s="12">
        <f>(D111-E111)</f>
        <v>-1243</v>
      </c>
      <c r="G111" s="12">
        <f>SUM('Outlook actuals from the ledger'!D111:O111)</f>
        <v>-111163.86331222452</v>
      </c>
      <c r="H111" s="12">
        <f>SUM('Budget (annual operating plan)'!D111:O111)</f>
        <v>-110400</v>
      </c>
      <c r="I111" s="12">
        <f>(G111-H111)</f>
        <v>-763.8633122245228</v>
      </c>
      <c r="J111" s="12">
        <f>IFERROR((I111/ABS(H111)),"")</f>
        <v>-0.006919051741164156</v>
      </c>
    </row>
    <row r="112">
      <c r="A112" s="0" t="inlineStr">
        <is>
          <t xml:space="preserve">Software and tools</t>
        </is>
      </c>
      <c r="B112" s="0" t="inlineStr">
        <is>
          <t xml:space="preserve">United States</t>
        </is>
      </c>
      <c r="C112" s="0" t="inlineStr">
        <is>
          <t xml:space="preserve">Marketing</t>
        </is>
      </c>
      <c r="D112" s="12">
        <f>SUM('Outlook actuals from the ledger'!D112:K112)</f>
        <v>-111750</v>
      </c>
      <c r="E112" s="12">
        <f>SUM('Budget (annual operating plan)'!D112:K112)</f>
        <v>-113600</v>
      </c>
      <c r="F112" s="12">
        <f>(D112-E112)</f>
        <v>1850</v>
      </c>
      <c r="G112" s="12">
        <f>SUM('Outlook actuals from the ledger'!D112:O112)</f>
        <v>-165764.9834644807</v>
      </c>
      <c r="H112" s="12">
        <f>SUM('Budget (annual operating plan)'!D112:O112)</f>
        <v>-171800</v>
      </c>
      <c r="I112" s="12">
        <f>(G112-H112)</f>
        <v>6035.016535519302</v>
      </c>
      <c r="J112" s="12">
        <f>IFERROR((I112/ABS(H112)),"")</f>
        <v>0.03512815212758616</v>
      </c>
    </row>
    <row r="113">
      <c r="A113" s="0" t="inlineStr">
        <is>
          <t xml:space="preserve">Software and tools</t>
        </is>
      </c>
      <c r="B113" s="0" t="inlineStr">
        <is>
          <t xml:space="preserve">United States</t>
        </is>
      </c>
      <c r="C113" s="0" t="inlineStr">
        <is>
          <t xml:space="preserve">Engineering</t>
        </is>
      </c>
      <c r="D113" s="12">
        <f>SUM('Outlook actuals from the ledger'!D113:K113)</f>
        <v>-170621</v>
      </c>
      <c r="E113" s="12">
        <f>SUM('Budget (annual operating plan)'!D113:K113)</f>
        <v>-170400</v>
      </c>
      <c r="F113" s="12">
        <f>(D113-E113)</f>
        <v>-221</v>
      </c>
      <c r="G113" s="12">
        <f>SUM('Outlook actuals from the ledger'!D113:O113)</f>
        <v>-260391.52314637328</v>
      </c>
      <c r="H113" s="12">
        <f>SUM('Budget (annual operating plan)'!D113:O113)</f>
        <v>-257700</v>
      </c>
      <c r="I113" s="12">
        <f>(G113-H113)</f>
        <v>-2691.523146373278</v>
      </c>
      <c r="J113" s="12">
        <f>IFERROR((I113/ABS(H113)),"")</f>
        <v>-0.010444404914137671</v>
      </c>
    </row>
    <row r="114">
      <c r="A114" s="0" t="inlineStr">
        <is>
          <t xml:space="preserve">Software and tools</t>
        </is>
      </c>
      <c r="B114" s="0" t="inlineStr">
        <is>
          <t xml:space="preserve">United States</t>
        </is>
      </c>
      <c r="C114" s="0" t="inlineStr">
        <is>
          <t xml:space="preserve">Customer success</t>
        </is>
      </c>
      <c r="D114" s="12">
        <f>SUM('Outlook actuals from the ledger'!D114:K114)</f>
        <v>-57883</v>
      </c>
      <c r="E114" s="12">
        <f>SUM('Budget (annual operating plan)'!D114:K114)</f>
        <v>-56800</v>
      </c>
      <c r="F114" s="12">
        <f>(D114-E114)</f>
        <v>-1083</v>
      </c>
      <c r="G114" s="12">
        <f>SUM('Outlook actuals from the ledger'!D114:O114)</f>
        <v>-85359.46343713003</v>
      </c>
      <c r="H114" s="12">
        <f>SUM('Budget (annual operating plan)'!D114:O114)</f>
        <v>-85900</v>
      </c>
      <c r="I114" s="12">
        <f>(G114-H114)</f>
        <v>540.5365628699656</v>
      </c>
      <c r="J114" s="12">
        <f>IFERROR((I114/ABS(H114)),"")</f>
        <v>0.006292625877415198</v>
      </c>
    </row>
    <row r="115">
      <c r="A115" s="0" t="inlineStr">
        <is>
          <t xml:space="preserve">Software and tools</t>
        </is>
      </c>
      <c r="B115" s="0" t="inlineStr">
        <is>
          <t xml:space="preserve">United States</t>
        </is>
      </c>
      <c r="C115" s="0" t="inlineStr">
        <is>
          <t xml:space="preserve">G&amp;A</t>
        </is>
      </c>
      <c r="D115" s="12">
        <f>SUM('Outlook actuals from the ledger'!D115:K115)</f>
        <v>-91063</v>
      </c>
      <c r="E115" s="12">
        <f>SUM('Budget (annual operating plan)'!D115:K115)</f>
        <v>-89200</v>
      </c>
      <c r="F115" s="12">
        <f>(D115-E115)</f>
        <v>-1863</v>
      </c>
      <c r="G115" s="12">
        <f>SUM('Outlook actuals from the ledger'!D115:O115)</f>
        <v>-138674.79403927692</v>
      </c>
      <c r="H115" s="12">
        <f>SUM('Budget (annual operating plan)'!D115:O115)</f>
        <v>-134900</v>
      </c>
      <c r="I115" s="12">
        <f>(G115-H115)</f>
        <v>-3774.7940392769233</v>
      </c>
      <c r="J115" s="12">
        <f>IFERROR((I115/ABS(H115)),"")</f>
        <v>-0.027982164857501286</v>
      </c>
    </row>
    <row r="116">
      <c r="A116" s="0" t="inlineStr">
        <is>
          <t xml:space="preserve">Software and tools</t>
        </is>
      </c>
      <c r="B116" s="0" t="inlineStr">
        <is>
          <t xml:space="preserve">United Kingdom</t>
        </is>
      </c>
      <c r="C116" s="0" t="inlineStr">
        <is>
          <t xml:space="preserve">Company (revenue and cost of revenue)</t>
        </is>
      </c>
      <c r="D116" s="12">
        <f>SUM('Outlook actuals from the ledger'!D116:K116)</f>
        <v>0</v>
      </c>
      <c r="E116" s="12">
        <f>SUM('Budget (annual operating plan)'!D116:K116)</f>
        <v>0</v>
      </c>
      <c r="F116" s="12">
        <f>(D116-E116)</f>
        <v>0</v>
      </c>
      <c r="G116" s="12">
        <f>SUM('Outlook actuals from the ledger'!D116:O116)</f>
        <v>0</v>
      </c>
      <c r="H116" s="12">
        <f>SUM('Budget (annual operating plan)'!D116:O116)</f>
        <v>0</v>
      </c>
      <c r="I116" s="12">
        <f>(G116-H116)</f>
        <v>0</v>
      </c>
      <c r="J116" s="12">
        <f>IFERROR((I116/ABS(H116)),"")</f>
      </c>
    </row>
    <row r="117">
      <c r="A117" s="0" t="inlineStr">
        <is>
          <t xml:space="preserve">Software and tools</t>
        </is>
      </c>
      <c r="B117" s="0" t="inlineStr">
        <is>
          <t xml:space="preserve">United Kingdom</t>
        </is>
      </c>
      <c r="C117" s="0" t="inlineStr">
        <is>
          <t xml:space="preserve">Sales</t>
        </is>
      </c>
      <c r="D117" s="12">
        <f>SUM('Outlook actuals from the ledger'!D117:K117)</f>
        <v>-30958</v>
      </c>
      <c r="E117" s="12">
        <f>SUM('Budget (annual operating plan)'!D117:K117)</f>
        <v>-30700</v>
      </c>
      <c r="F117" s="12">
        <f>(D117-E117)</f>
        <v>-258</v>
      </c>
      <c r="G117" s="12">
        <f>SUM('Outlook actuals from the ledger'!D117:O117)</f>
        <v>-46980.184826794015</v>
      </c>
      <c r="H117" s="12">
        <f>SUM('Budget (annual operating plan)'!D117:O117)</f>
        <v>-46300</v>
      </c>
      <c r="I117" s="12">
        <f>(G117-H117)</f>
        <v>-680.184826794015</v>
      </c>
      <c r="J117" s="12">
        <f>IFERROR((I117/ABS(H117)),"")</f>
        <v>-0.014690816993391252</v>
      </c>
    </row>
    <row r="118">
      <c r="A118" s="0" t="inlineStr">
        <is>
          <t xml:space="preserve">Software and tools</t>
        </is>
      </c>
      <c r="B118" s="0" t="inlineStr">
        <is>
          <t xml:space="preserve">United Kingdom</t>
        </is>
      </c>
      <c r="C118" s="0" t="inlineStr">
        <is>
          <t xml:space="preserve">Marketing</t>
        </is>
      </c>
      <c r="D118" s="12">
        <f>SUM('Outlook actuals from the ledger'!D118:K118)</f>
        <v>-48746</v>
      </c>
      <c r="E118" s="12">
        <f>SUM('Budget (annual operating plan)'!D118:K118)</f>
        <v>-47700</v>
      </c>
      <c r="F118" s="12">
        <f>(D118-E118)</f>
        <v>-1046</v>
      </c>
      <c r="G118" s="12">
        <f>SUM('Outlook actuals from the ledger'!D118:O118)</f>
        <v>-74054.23061971796</v>
      </c>
      <c r="H118" s="12">
        <f>SUM('Budget (annual operating plan)'!D118:O118)</f>
        <v>-72100</v>
      </c>
      <c r="I118" s="12">
        <f>(G118-H118)</f>
        <v>-1954.2306197179569</v>
      </c>
      <c r="J118" s="12">
        <f>IFERROR((I118/ABS(H118)),"")</f>
        <v>-0.027104446875422426</v>
      </c>
    </row>
    <row r="119">
      <c r="A119" s="0" t="inlineStr">
        <is>
          <t xml:space="preserve">Software and tools</t>
        </is>
      </c>
      <c r="B119" s="0" t="inlineStr">
        <is>
          <t xml:space="preserve">United Kingdom</t>
        </is>
      </c>
      <c r="C119" s="0" t="inlineStr">
        <is>
          <t xml:space="preserve">Engineering</t>
        </is>
      </c>
      <c r="D119" s="12">
        <f>SUM('Outlook actuals from the ledger'!D119:K119)</f>
        <v>-71260</v>
      </c>
      <c r="E119" s="12">
        <f>SUM('Budget (annual operating plan)'!D119:K119)</f>
        <v>-71600</v>
      </c>
      <c r="F119" s="12">
        <f>(D119-E119)</f>
        <v>340</v>
      </c>
      <c r="G119" s="12">
        <f>SUM('Outlook actuals from the ledger'!D119:O119)</f>
        <v>-106885.60812729111</v>
      </c>
      <c r="H119" s="12">
        <f>SUM('Budget (annual operating plan)'!D119:O119)</f>
        <v>-108200</v>
      </c>
      <c r="I119" s="12">
        <f>(G119-H119)</f>
        <v>1314.3918727088894</v>
      </c>
      <c r="J119" s="12">
        <f>IFERROR((I119/ABS(H119)),"")</f>
        <v>0.012147799193242971</v>
      </c>
    </row>
    <row r="120">
      <c r="A120" s="0" t="inlineStr">
        <is>
          <t xml:space="preserve">Software and tools</t>
        </is>
      </c>
      <c r="B120" s="0" t="inlineStr">
        <is>
          <t xml:space="preserve">United Kingdom</t>
        </is>
      </c>
      <c r="C120" s="0" t="inlineStr">
        <is>
          <t xml:space="preserve">Customer success</t>
        </is>
      </c>
      <c r="D120" s="12">
        <f>SUM('Outlook actuals from the ledger'!D120:K120)</f>
        <v>-24633</v>
      </c>
      <c r="E120" s="12">
        <f>SUM('Budget (annual operating plan)'!D120:K120)</f>
        <v>-23900</v>
      </c>
      <c r="F120" s="12">
        <f>(D120-E120)</f>
        <v>-733</v>
      </c>
      <c r="G120" s="12">
        <f>SUM('Outlook actuals from the ledger'!D120:O120)</f>
        <v>-37569.31040500906</v>
      </c>
      <c r="H120" s="12">
        <f>SUM('Budget (annual operating plan)'!D120:O120)</f>
        <v>-36100</v>
      </c>
      <c r="I120" s="12">
        <f>(G120-H120)</f>
        <v>-1469.3104050090624</v>
      </c>
      <c r="J120" s="12">
        <f>IFERROR((I120/ABS(H120)),"")</f>
        <v>-0.040701119252328596</v>
      </c>
    </row>
    <row r="121">
      <c r="A121" s="0" t="inlineStr">
        <is>
          <t xml:space="preserve">Software and tools</t>
        </is>
      </c>
      <c r="B121" s="0" t="inlineStr">
        <is>
          <t xml:space="preserve">United Kingdom</t>
        </is>
      </c>
      <c r="C121" s="0" t="inlineStr">
        <is>
          <t xml:space="preserve">G&amp;A</t>
        </is>
      </c>
      <c r="D121" s="12">
        <f>SUM('Outlook actuals from the ledger'!D121:K121)</f>
        <v>-38075</v>
      </c>
      <c r="E121" s="12">
        <f>SUM('Budget (annual operating plan)'!D121:K121)</f>
        <v>-37500</v>
      </c>
      <c r="F121" s="12">
        <f>(D121-E121)</f>
        <v>-575</v>
      </c>
      <c r="G121" s="12">
        <f>SUM('Outlook actuals from the ledger'!D121:O121)</f>
        <v>-58462.072989187225</v>
      </c>
      <c r="H121" s="12">
        <f>SUM('Budget (annual operating plan)'!D121:O121)</f>
        <v>-56700</v>
      </c>
      <c r="I121" s="12">
        <f>(G121-H121)</f>
        <v>-1762.0729891872252</v>
      </c>
      <c r="J121" s="12">
        <f>IFERROR((I121/ABS(H121)),"")</f>
        <v>-0.03107712502975706</v>
      </c>
    </row>
    <row r="122">
      <c r="A122" s="0" t="inlineStr">
        <is>
          <t xml:space="preserve">Travel and events</t>
        </is>
      </c>
      <c r="B122" s="0" t="inlineStr">
        <is>
          <t xml:space="preserve">United States</t>
        </is>
      </c>
      <c r="C122" s="0" t="inlineStr">
        <is>
          <t xml:space="preserve">Company (revenue and cost of revenue)</t>
        </is>
      </c>
      <c r="D122" s="12">
        <f>SUM('Outlook actuals from the ledger'!D122:K122)</f>
        <v>0</v>
      </c>
      <c r="E122" s="12">
        <f>SUM('Budget (annual operating plan)'!D122:K122)</f>
        <v>0</v>
      </c>
      <c r="F122" s="12">
        <f>(D122-E122)</f>
        <v>0</v>
      </c>
      <c r="G122" s="12">
        <f>SUM('Outlook actuals from the ledger'!D122:O122)</f>
        <v>0</v>
      </c>
      <c r="H122" s="12">
        <f>SUM('Budget (annual operating plan)'!D122:O122)</f>
        <v>0</v>
      </c>
      <c r="I122" s="12">
        <f>(G122-H122)</f>
        <v>0</v>
      </c>
      <c r="J122" s="12">
        <f>IFERROR((I122/ABS(H122)),"")</f>
      </c>
    </row>
    <row r="123">
      <c r="A123" s="0" t="inlineStr">
        <is>
          <t xml:space="preserve">Travel and events</t>
        </is>
      </c>
      <c r="B123" s="0" t="inlineStr">
        <is>
          <t xml:space="preserve">United States</t>
        </is>
      </c>
      <c r="C123" s="0" t="inlineStr">
        <is>
          <t xml:space="preserve">Sales</t>
        </is>
      </c>
      <c r="D123" s="12">
        <f>SUM('Outlook actuals from the ledger'!D123:K123)</f>
        <v>-313258</v>
      </c>
      <c r="E123" s="12">
        <f>SUM('Budget (annual operating plan)'!D123:K123)</f>
        <v>-308400</v>
      </c>
      <c r="F123" s="12">
        <f>(D123-E123)</f>
        <v>-4858</v>
      </c>
      <c r="G123" s="12">
        <f>SUM('Outlook actuals from the ledger'!D123:O123)</f>
        <v>-470040.7224320824</v>
      </c>
      <c r="H123" s="12">
        <f>SUM('Budget (annual operating plan)'!D123:O123)</f>
        <v>-466200</v>
      </c>
      <c r="I123" s="12">
        <f>(G123-H123)</f>
        <v>-3840.7224320824025</v>
      </c>
      <c r="J123" s="12">
        <f>IFERROR((I123/ABS(H123)),"")</f>
        <v>-0.008238357855174608</v>
      </c>
    </row>
    <row r="124">
      <c r="A124" s="0" t="inlineStr">
        <is>
          <t xml:space="preserve">Travel and events</t>
        </is>
      </c>
      <c r="B124" s="0" t="inlineStr">
        <is>
          <t xml:space="preserve">United States</t>
        </is>
      </c>
      <c r="C124" s="0" t="inlineStr">
        <is>
          <t xml:space="preserve">Marketing</t>
        </is>
      </c>
      <c r="D124" s="12">
        <f>SUM('Outlook actuals from the ledger'!D124:K124)</f>
        <v>-96444</v>
      </c>
      <c r="E124" s="12">
        <f>SUM('Budget (annual operating plan)'!D124:K124)</f>
        <v>-97200</v>
      </c>
      <c r="F124" s="12">
        <f>(D124-E124)</f>
        <v>756</v>
      </c>
      <c r="G124" s="12">
        <f>SUM('Outlook actuals from the ledger'!D124:O124)</f>
        <v>-144177.60487171577</v>
      </c>
      <c r="H124" s="12">
        <f>SUM('Budget (annual operating plan)'!D124:O124)</f>
        <v>-147000</v>
      </c>
      <c r="I124" s="12">
        <f>(G124-H124)</f>
        <v>2822.3951282842318</v>
      </c>
      <c r="J124" s="12">
        <f>IFERROR((I124/ABS(H124)),"")</f>
        <v>0.019199966859076406</v>
      </c>
    </row>
    <row r="125">
      <c r="A125" s="0" t="inlineStr">
        <is>
          <t xml:space="preserve">Travel and events</t>
        </is>
      </c>
      <c r="B125" s="0" t="inlineStr">
        <is>
          <t xml:space="preserve">United States</t>
        </is>
      </c>
      <c r="C125" s="0" t="inlineStr">
        <is>
          <t xml:space="preserve">Engineering</t>
        </is>
      </c>
      <c r="D125" s="12">
        <f>SUM('Outlook actuals from the ledger'!D125:K125)</f>
        <v>0</v>
      </c>
      <c r="E125" s="12">
        <f>SUM('Budget (annual operating plan)'!D125:K125)</f>
        <v>0</v>
      </c>
      <c r="F125" s="12">
        <f>(D125-E125)</f>
        <v>0</v>
      </c>
      <c r="G125" s="12">
        <f>SUM('Outlook actuals from the ledger'!D125:O125)</f>
        <v>0</v>
      </c>
      <c r="H125" s="12">
        <f>SUM('Budget (annual operating plan)'!D125:O125)</f>
        <v>0</v>
      </c>
      <c r="I125" s="12">
        <f>(G125-H125)</f>
        <v>0</v>
      </c>
      <c r="J125" s="12">
        <f>IFERROR((I125/ABS(H125)),"")</f>
      </c>
    </row>
    <row r="126">
      <c r="A126" s="0" t="inlineStr">
        <is>
          <t xml:space="preserve">Travel and events</t>
        </is>
      </c>
      <c r="B126" s="0" t="inlineStr">
        <is>
          <t xml:space="preserve">United States</t>
        </is>
      </c>
      <c r="C126" s="0" t="inlineStr">
        <is>
          <t xml:space="preserve">Customer success</t>
        </is>
      </c>
      <c r="D126" s="12">
        <f>SUM('Outlook actuals from the ledger'!D126:K126)</f>
        <v>-33276</v>
      </c>
      <c r="E126" s="12">
        <f>SUM('Budget (annual operating plan)'!D126:K126)</f>
        <v>-32400</v>
      </c>
      <c r="F126" s="12">
        <f>(D126-E126)</f>
        <v>-876</v>
      </c>
      <c r="G126" s="12">
        <f>SUM('Outlook actuals from the ledger'!D126:O126)</f>
        <v>-49716.40201816751</v>
      </c>
      <c r="H126" s="12">
        <f>SUM('Budget (annual operating plan)'!D126:O126)</f>
        <v>-49000</v>
      </c>
      <c r="I126" s="12">
        <f>(G126-H126)</f>
        <v>-716.4020181675078</v>
      </c>
      <c r="J126" s="12">
        <f>IFERROR((I126/ABS(H126)),"")</f>
        <v>-0.014620449350357301</v>
      </c>
    </row>
    <row r="127">
      <c r="A127" s="0" t="inlineStr">
        <is>
          <t xml:space="preserve">Travel and events</t>
        </is>
      </c>
      <c r="B127" s="0" t="inlineStr">
        <is>
          <t xml:space="preserve">United States</t>
        </is>
      </c>
      <c r="C127" s="0" t="inlineStr">
        <is>
          <t xml:space="preserve">G&amp;A</t>
        </is>
      </c>
      <c r="D127" s="12">
        <f>SUM('Outlook actuals from the ledger'!D127:K127)</f>
        <v>-48515</v>
      </c>
      <c r="E127" s="12">
        <f>SUM('Budget (annual operating plan)'!D127:K127)</f>
        <v>-48600</v>
      </c>
      <c r="F127" s="12">
        <f>(D127-E127)</f>
        <v>85</v>
      </c>
      <c r="G127" s="12">
        <f>SUM('Outlook actuals from the ledger'!D127:O127)</f>
        <v>-72487.3718239716</v>
      </c>
      <c r="H127" s="12">
        <f>SUM('Budget (annual operating plan)'!D127:O127)</f>
        <v>-73500</v>
      </c>
      <c r="I127" s="12">
        <f>(G127-H127)</f>
        <v>1012.6281760284037</v>
      </c>
      <c r="J127" s="12">
        <f>IFERROR((I127/ABS(H127)),"")</f>
        <v>0.01377725409562454</v>
      </c>
    </row>
    <row r="128">
      <c r="A128" s="0" t="inlineStr">
        <is>
          <t xml:space="preserve">Travel and events</t>
        </is>
      </c>
      <c r="B128" s="0" t="inlineStr">
        <is>
          <t xml:space="preserve">United Kingdom</t>
        </is>
      </c>
      <c r="C128" s="0" t="inlineStr">
        <is>
          <t xml:space="preserve">Company (revenue and cost of revenue)</t>
        </is>
      </c>
      <c r="D128" s="12">
        <f>SUM('Outlook actuals from the ledger'!D128:K128)</f>
        <v>0</v>
      </c>
      <c r="E128" s="12">
        <f>SUM('Budget (annual operating plan)'!D128:K128)</f>
        <v>0</v>
      </c>
      <c r="F128" s="12">
        <f>(D128-E128)</f>
        <v>0</v>
      </c>
      <c r="G128" s="12">
        <f>SUM('Outlook actuals from the ledger'!D128:O128)</f>
        <v>0</v>
      </c>
      <c r="H128" s="12">
        <f>SUM('Budget (annual operating plan)'!D128:O128)</f>
        <v>0</v>
      </c>
      <c r="I128" s="12">
        <f>(G128-H128)</f>
        <v>0</v>
      </c>
      <c r="J128" s="12">
        <f>IFERROR((I128/ABS(H128)),"")</f>
      </c>
    </row>
    <row r="129">
      <c r="A129" s="0" t="inlineStr">
        <is>
          <t xml:space="preserve">Travel and events</t>
        </is>
      </c>
      <c r="B129" s="0" t="inlineStr">
        <is>
          <t xml:space="preserve">United Kingdom</t>
        </is>
      </c>
      <c r="C129" s="0" t="inlineStr">
        <is>
          <t xml:space="preserve">Sales</t>
        </is>
      </c>
      <c r="D129" s="12">
        <f>SUM('Outlook actuals from the ledger'!D129:K129)</f>
        <v>-133926</v>
      </c>
      <c r="E129" s="12">
        <f>SUM('Budget (annual operating plan)'!D129:K129)</f>
        <v>-129500</v>
      </c>
      <c r="F129" s="12">
        <f>(D129-E129)</f>
        <v>-4426</v>
      </c>
      <c r="G129" s="12">
        <f>SUM('Outlook actuals from the ledger'!D129:O129)</f>
        <v>-206245.0912189631</v>
      </c>
      <c r="H129" s="12">
        <f>SUM('Budget (annual operating plan)'!D129:O129)</f>
        <v>-195800</v>
      </c>
      <c r="I129" s="12">
        <f>(G129-H129)</f>
        <v>-10445.09121896309</v>
      </c>
      <c r="J129" s="12">
        <f>IFERROR((I129/ABS(H129)),"")</f>
        <v>-0.053345716133621504</v>
      </c>
    </row>
    <row r="130">
      <c r="A130" s="0" t="inlineStr">
        <is>
          <t xml:space="preserve">Travel and events</t>
        </is>
      </c>
      <c r="B130" s="0" t="inlineStr">
        <is>
          <t xml:space="preserve">United Kingdom</t>
        </is>
      </c>
      <c r="C130" s="0" t="inlineStr">
        <is>
          <t xml:space="preserve">Marketing</t>
        </is>
      </c>
      <c r="D130" s="12">
        <f>SUM('Outlook actuals from the ledger'!D130:K130)</f>
        <v>-41115</v>
      </c>
      <c r="E130" s="12">
        <f>SUM('Budget (annual operating plan)'!D130:K130)</f>
        <v>-40900</v>
      </c>
      <c r="F130" s="12">
        <f>(D130-E130)</f>
        <v>-215</v>
      </c>
      <c r="G130" s="12">
        <f>SUM('Outlook actuals from the ledger'!D130:O130)</f>
        <v>-62265.420872470866</v>
      </c>
      <c r="H130" s="12">
        <f>SUM('Budget (annual operating plan)'!D130:O130)</f>
        <v>-61800</v>
      </c>
      <c r="I130" s="12">
        <f>(G130-H130)</f>
        <v>-465.420872470866</v>
      </c>
      <c r="J130" s="12">
        <f>IFERROR((I130/ABS(H130)),"")</f>
        <v>-0.007531082078816602</v>
      </c>
    </row>
    <row r="131">
      <c r="A131" s="0" t="inlineStr">
        <is>
          <t xml:space="preserve">Travel and events</t>
        </is>
      </c>
      <c r="B131" s="0" t="inlineStr">
        <is>
          <t xml:space="preserve">United Kingdom</t>
        </is>
      </c>
      <c r="C131" s="0" t="inlineStr">
        <is>
          <t xml:space="preserve">Engineering</t>
        </is>
      </c>
      <c r="D131" s="12">
        <f>SUM('Outlook actuals from the ledger'!D131:K131)</f>
        <v>0</v>
      </c>
      <c r="E131" s="12">
        <f>SUM('Budget (annual operating plan)'!D131:K131)</f>
        <v>0</v>
      </c>
      <c r="F131" s="12">
        <f>(D131-E131)</f>
        <v>0</v>
      </c>
      <c r="G131" s="12">
        <f>SUM('Outlook actuals from the ledger'!D131:O131)</f>
        <v>0</v>
      </c>
      <c r="H131" s="12">
        <f>SUM('Budget (annual operating plan)'!D131:O131)</f>
        <v>0</v>
      </c>
      <c r="I131" s="12">
        <f>(G131-H131)</f>
        <v>0</v>
      </c>
      <c r="J131" s="12">
        <f>IFERROR((I131/ABS(H131)),"")</f>
      </c>
    </row>
    <row r="132">
      <c r="A132" s="0" t="inlineStr">
        <is>
          <t xml:space="preserve">Travel and events</t>
        </is>
      </c>
      <c r="B132" s="0" t="inlineStr">
        <is>
          <t xml:space="preserve">United Kingdom</t>
        </is>
      </c>
      <c r="C132" s="0" t="inlineStr">
        <is>
          <t xml:space="preserve">Customer success</t>
        </is>
      </c>
      <c r="D132" s="12">
        <f>SUM('Outlook actuals from the ledger'!D132:K132)</f>
        <v>-13483</v>
      </c>
      <c r="E132" s="12">
        <f>SUM('Budget (annual operating plan)'!D132:K132)</f>
        <v>-13600</v>
      </c>
      <c r="F132" s="12">
        <f>(D132-E132)</f>
        <v>117</v>
      </c>
      <c r="G132" s="12">
        <f>SUM('Outlook actuals from the ledger'!D132:O132)</f>
        <v>-20369.372393878017</v>
      </c>
      <c r="H132" s="12">
        <f>SUM('Budget (annual operating plan)'!D132:O132)</f>
        <v>-20500</v>
      </c>
      <c r="I132" s="12">
        <f>(G132-H132)</f>
        <v>130.62760612198326</v>
      </c>
      <c r="J132" s="12">
        <f>IFERROR((I132/ABS(H132)),"")</f>
        <v>0.006372078347413818</v>
      </c>
    </row>
    <row r="133">
      <c r="A133" s="0" t="inlineStr">
        <is>
          <t xml:space="preserve">Travel and events</t>
        </is>
      </c>
      <c r="B133" s="0" t="inlineStr">
        <is>
          <t xml:space="preserve">United Kingdom</t>
        </is>
      </c>
      <c r="C133" s="0" t="inlineStr">
        <is>
          <t xml:space="preserve">G&amp;A</t>
        </is>
      </c>
      <c r="D133" s="12">
        <f>SUM('Outlook actuals from the ledger'!D133:K133)</f>
        <v>-21148</v>
      </c>
      <c r="E133" s="12">
        <f>SUM('Budget (annual operating plan)'!D133:K133)</f>
        <v>-20500</v>
      </c>
      <c r="F133" s="12">
        <f>(D133-E133)</f>
        <v>-648</v>
      </c>
      <c r="G133" s="12">
        <f>SUM('Outlook actuals from the ledger'!D133:O133)</f>
        <v>-31404.47209135369</v>
      </c>
      <c r="H133" s="12">
        <f>SUM('Budget (annual operating plan)'!D133:O133)</f>
        <v>-30900</v>
      </c>
      <c r="I133" s="12">
        <f>(G133-H133)</f>
        <v>-504.4720913536912</v>
      </c>
      <c r="J133" s="12">
        <f>IFERROR((I133/ABS(H133)),"")</f>
        <v>-0.01632595764898677</v>
      </c>
    </row>
    <row r="134">
      <c r="A134" s="0" t="inlineStr">
        <is>
          <t xml:space="preserve">Rent and facilities</t>
        </is>
      </c>
      <c r="B134" s="0" t="inlineStr">
        <is>
          <t xml:space="preserve">United States</t>
        </is>
      </c>
      <c r="C134" s="0" t="inlineStr">
        <is>
          <t xml:space="preserve">Company (revenue and cost of revenue)</t>
        </is>
      </c>
      <c r="D134" s="12">
        <f>SUM('Outlook actuals from the ledger'!D134:K134)</f>
        <v>0</v>
      </c>
      <c r="E134" s="12">
        <f>SUM('Budget (annual operating plan)'!D134:K134)</f>
        <v>0</v>
      </c>
      <c r="F134" s="12">
        <f>(D134-E134)</f>
        <v>0</v>
      </c>
      <c r="G134" s="12">
        <f>SUM('Outlook actuals from the ledger'!D134:O134)</f>
        <v>0</v>
      </c>
      <c r="H134" s="12">
        <f>SUM('Budget (annual operating plan)'!D134:O134)</f>
        <v>0</v>
      </c>
      <c r="I134" s="12">
        <f>(G134-H134)</f>
        <v>0</v>
      </c>
      <c r="J134" s="12">
        <f>IFERROR((I134/ABS(H134)),"")</f>
      </c>
    </row>
    <row r="135">
      <c r="A135" s="0" t="inlineStr">
        <is>
          <t xml:space="preserve">Rent and facilities</t>
        </is>
      </c>
      <c r="B135" s="0" t="inlineStr">
        <is>
          <t xml:space="preserve">United States</t>
        </is>
      </c>
      <c r="C135" s="0" t="inlineStr">
        <is>
          <t xml:space="preserve">Sales</t>
        </is>
      </c>
      <c r="D135" s="12">
        <f>SUM('Outlook actuals from the ledger'!D135:K135)</f>
        <v>0</v>
      </c>
      <c r="E135" s="12">
        <f>SUM('Budget (annual operating plan)'!D135:K135)</f>
        <v>0</v>
      </c>
      <c r="F135" s="12">
        <f>(D135-E135)</f>
        <v>0</v>
      </c>
      <c r="G135" s="12">
        <f>SUM('Outlook actuals from the ledger'!D135:O135)</f>
        <v>0</v>
      </c>
      <c r="H135" s="12">
        <f>SUM('Budget (annual operating plan)'!D135:O135)</f>
        <v>0</v>
      </c>
      <c r="I135" s="12">
        <f>(G135-H135)</f>
        <v>0</v>
      </c>
      <c r="J135" s="12">
        <f>IFERROR((I135/ABS(H135)),"")</f>
      </c>
    </row>
    <row r="136">
      <c r="A136" s="0" t="inlineStr">
        <is>
          <t xml:space="preserve">Rent and facilities</t>
        </is>
      </c>
      <c r="B136" s="0" t="inlineStr">
        <is>
          <t xml:space="preserve">United States</t>
        </is>
      </c>
      <c r="C136" s="0" t="inlineStr">
        <is>
          <t xml:space="preserve">Marketing</t>
        </is>
      </c>
      <c r="D136" s="12">
        <f>SUM('Outlook actuals from the ledger'!D136:K136)</f>
        <v>0</v>
      </c>
      <c r="E136" s="12">
        <f>SUM('Budget (annual operating plan)'!D136:K136)</f>
        <v>0</v>
      </c>
      <c r="F136" s="12">
        <f>(D136-E136)</f>
        <v>0</v>
      </c>
      <c r="G136" s="12">
        <f>SUM('Outlook actuals from the ledger'!D136:O136)</f>
        <v>0</v>
      </c>
      <c r="H136" s="12">
        <f>SUM('Budget (annual operating plan)'!D136:O136)</f>
        <v>0</v>
      </c>
      <c r="I136" s="12">
        <f>(G136-H136)</f>
        <v>0</v>
      </c>
      <c r="J136" s="12">
        <f>IFERROR((I136/ABS(H136)),"")</f>
      </c>
    </row>
    <row r="137">
      <c r="A137" s="0" t="inlineStr">
        <is>
          <t xml:space="preserve">Rent and facilities</t>
        </is>
      </c>
      <c r="B137" s="0" t="inlineStr">
        <is>
          <t xml:space="preserve">United States</t>
        </is>
      </c>
      <c r="C137" s="0" t="inlineStr">
        <is>
          <t xml:space="preserve">Engineering</t>
        </is>
      </c>
      <c r="D137" s="12">
        <f>SUM('Outlook actuals from the ledger'!D137:K137)</f>
        <v>0</v>
      </c>
      <c r="E137" s="12">
        <f>SUM('Budget (annual operating plan)'!D137:K137)</f>
        <v>0</v>
      </c>
      <c r="F137" s="12">
        <f>(D137-E137)</f>
        <v>0</v>
      </c>
      <c r="G137" s="12">
        <f>SUM('Outlook actuals from the ledger'!D137:O137)</f>
        <v>0</v>
      </c>
      <c r="H137" s="12">
        <f>SUM('Budget (annual operating plan)'!D137:O137)</f>
        <v>0</v>
      </c>
      <c r="I137" s="12">
        <f>(G137-H137)</f>
        <v>0</v>
      </c>
      <c r="J137" s="12">
        <f>IFERROR((I137/ABS(H137)),"")</f>
      </c>
    </row>
    <row r="138">
      <c r="A138" s="0" t="inlineStr">
        <is>
          <t xml:space="preserve">Rent and facilities</t>
        </is>
      </c>
      <c r="B138" s="0" t="inlineStr">
        <is>
          <t xml:space="preserve">United States</t>
        </is>
      </c>
      <c r="C138" s="0" t="inlineStr">
        <is>
          <t xml:space="preserve">Customer success</t>
        </is>
      </c>
      <c r="D138" s="12">
        <f>SUM('Outlook actuals from the ledger'!D138:K138)</f>
        <v>0</v>
      </c>
      <c r="E138" s="12">
        <f>SUM('Budget (annual operating plan)'!D138:K138)</f>
        <v>0</v>
      </c>
      <c r="F138" s="12">
        <f>(D138-E138)</f>
        <v>0</v>
      </c>
      <c r="G138" s="12">
        <f>SUM('Outlook actuals from the ledger'!D138:O138)</f>
        <v>0</v>
      </c>
      <c r="H138" s="12">
        <f>SUM('Budget (annual operating plan)'!D138:O138)</f>
        <v>0</v>
      </c>
      <c r="I138" s="12">
        <f>(G138-H138)</f>
        <v>0</v>
      </c>
      <c r="J138" s="12">
        <f>IFERROR((I138/ABS(H138)),"")</f>
      </c>
    </row>
    <row r="139">
      <c r="A139" s="0" t="inlineStr">
        <is>
          <t xml:space="preserve">Rent and facilities</t>
        </is>
      </c>
      <c r="B139" s="0" t="inlineStr">
        <is>
          <t xml:space="preserve">United States</t>
        </is>
      </c>
      <c r="C139" s="0" t="inlineStr">
        <is>
          <t xml:space="preserve">G&amp;A</t>
        </is>
      </c>
      <c r="D139" s="12">
        <f>SUM('Outlook actuals from the ledger'!D139:K139)</f>
        <v>-710849</v>
      </c>
      <c r="E139" s="12">
        <f>SUM('Budget (annual operating plan)'!D139:K139)</f>
        <v>-714000</v>
      </c>
      <c r="F139" s="12">
        <f>(D139-E139)</f>
        <v>3151</v>
      </c>
      <c r="G139" s="12">
        <f>SUM('Outlook actuals from the ledger'!D139:O139)</f>
        <v>-1096010.7918106571</v>
      </c>
      <c r="H139" s="12">
        <f>SUM('Budget (annual operating plan)'!D139:O139)</f>
        <v>-1079700</v>
      </c>
      <c r="I139" s="12">
        <f>(G139-H139)</f>
        <v>-16310.79181065713</v>
      </c>
      <c r="J139" s="12">
        <f>IFERROR((I139/ABS(H139)),"")</f>
        <v>-0.015106781338017163</v>
      </c>
    </row>
    <row r="140">
      <c r="A140" s="0" t="inlineStr">
        <is>
          <t xml:space="preserve">Rent and facilities</t>
        </is>
      </c>
      <c r="B140" s="0" t="inlineStr">
        <is>
          <t xml:space="preserve">United Kingdom</t>
        </is>
      </c>
      <c r="C140" s="0" t="inlineStr">
        <is>
          <t xml:space="preserve">Company (revenue and cost of revenue)</t>
        </is>
      </c>
      <c r="D140" s="12">
        <f>SUM('Outlook actuals from the ledger'!D140:K140)</f>
        <v>0</v>
      </c>
      <c r="E140" s="12">
        <f>SUM('Budget (annual operating plan)'!D140:K140)</f>
        <v>0</v>
      </c>
      <c r="F140" s="12">
        <f>(D140-E140)</f>
        <v>0</v>
      </c>
      <c r="G140" s="12">
        <f>SUM('Outlook actuals from the ledger'!D140:O140)</f>
        <v>0</v>
      </c>
      <c r="H140" s="12">
        <f>SUM('Budget (annual operating plan)'!D140:O140)</f>
        <v>0</v>
      </c>
      <c r="I140" s="12">
        <f>(G140-H140)</f>
        <v>0</v>
      </c>
      <c r="J140" s="12">
        <f>IFERROR((I140/ABS(H140)),"")</f>
      </c>
    </row>
    <row r="141">
      <c r="A141" s="0" t="inlineStr">
        <is>
          <t xml:space="preserve">Rent and facilities</t>
        </is>
      </c>
      <c r="B141" s="0" t="inlineStr">
        <is>
          <t xml:space="preserve">United Kingdom</t>
        </is>
      </c>
      <c r="C141" s="0" t="inlineStr">
        <is>
          <t xml:space="preserve">Sales</t>
        </is>
      </c>
      <c r="D141" s="12">
        <f>SUM('Outlook actuals from the ledger'!D141:K141)</f>
        <v>0</v>
      </c>
      <c r="E141" s="12">
        <f>SUM('Budget (annual operating plan)'!D141:K141)</f>
        <v>0</v>
      </c>
      <c r="F141" s="12">
        <f>(D141-E141)</f>
        <v>0</v>
      </c>
      <c r="G141" s="12">
        <f>SUM('Outlook actuals from the ledger'!D141:O141)</f>
        <v>0</v>
      </c>
      <c r="H141" s="12">
        <f>SUM('Budget (annual operating plan)'!D141:O141)</f>
        <v>0</v>
      </c>
      <c r="I141" s="12">
        <f>(G141-H141)</f>
        <v>0</v>
      </c>
      <c r="J141" s="12">
        <f>IFERROR((I141/ABS(H141)),"")</f>
      </c>
    </row>
    <row r="142">
      <c r="A142" s="0" t="inlineStr">
        <is>
          <t xml:space="preserve">Rent and facilities</t>
        </is>
      </c>
      <c r="B142" s="0" t="inlineStr">
        <is>
          <t xml:space="preserve">United Kingdom</t>
        </is>
      </c>
      <c r="C142" s="0" t="inlineStr">
        <is>
          <t xml:space="preserve">Marketing</t>
        </is>
      </c>
      <c r="D142" s="12">
        <f>SUM('Outlook actuals from the ledger'!D142:K142)</f>
        <v>0</v>
      </c>
      <c r="E142" s="12">
        <f>SUM('Budget (annual operating plan)'!D142:K142)</f>
        <v>0</v>
      </c>
      <c r="F142" s="12">
        <f>(D142-E142)</f>
        <v>0</v>
      </c>
      <c r="G142" s="12">
        <f>SUM('Outlook actuals from the ledger'!D142:O142)</f>
        <v>0</v>
      </c>
      <c r="H142" s="12">
        <f>SUM('Budget (annual operating plan)'!D142:O142)</f>
        <v>0</v>
      </c>
      <c r="I142" s="12">
        <f>(G142-H142)</f>
        <v>0</v>
      </c>
      <c r="J142" s="12">
        <f>IFERROR((I142/ABS(H142)),"")</f>
      </c>
    </row>
    <row r="143">
      <c r="A143" s="0" t="inlineStr">
        <is>
          <t xml:space="preserve">Rent and facilities</t>
        </is>
      </c>
      <c r="B143" s="0" t="inlineStr">
        <is>
          <t xml:space="preserve">United Kingdom</t>
        </is>
      </c>
      <c r="C143" s="0" t="inlineStr">
        <is>
          <t xml:space="preserve">Engineering</t>
        </is>
      </c>
      <c r="D143" s="12">
        <f>SUM('Outlook actuals from the ledger'!D143:K143)</f>
        <v>0</v>
      </c>
      <c r="E143" s="12">
        <f>SUM('Budget (annual operating plan)'!D143:K143)</f>
        <v>0</v>
      </c>
      <c r="F143" s="12">
        <f>(D143-E143)</f>
        <v>0</v>
      </c>
      <c r="G143" s="12">
        <f>SUM('Outlook actuals from the ledger'!D143:O143)</f>
        <v>0</v>
      </c>
      <c r="H143" s="12">
        <f>SUM('Budget (annual operating plan)'!D143:O143)</f>
        <v>0</v>
      </c>
      <c r="I143" s="12">
        <f>(G143-H143)</f>
        <v>0</v>
      </c>
      <c r="J143" s="12">
        <f>IFERROR((I143/ABS(H143)),"")</f>
      </c>
    </row>
    <row r="144">
      <c r="A144" s="0" t="inlineStr">
        <is>
          <t xml:space="preserve">Rent and facilities</t>
        </is>
      </c>
      <c r="B144" s="0" t="inlineStr">
        <is>
          <t xml:space="preserve">United Kingdom</t>
        </is>
      </c>
      <c r="C144" s="0" t="inlineStr">
        <is>
          <t xml:space="preserve">Customer success</t>
        </is>
      </c>
      <c r="D144" s="12">
        <f>SUM('Outlook actuals from the ledger'!D144:K144)</f>
        <v>0</v>
      </c>
      <c r="E144" s="12">
        <f>SUM('Budget (annual operating plan)'!D144:K144)</f>
        <v>0</v>
      </c>
      <c r="F144" s="12">
        <f>(D144-E144)</f>
        <v>0</v>
      </c>
      <c r="G144" s="12">
        <f>SUM('Outlook actuals from the ledger'!D144:O144)</f>
        <v>0</v>
      </c>
      <c r="H144" s="12">
        <f>SUM('Budget (annual operating plan)'!D144:O144)</f>
        <v>0</v>
      </c>
      <c r="I144" s="12">
        <f>(G144-H144)</f>
        <v>0</v>
      </c>
      <c r="J144" s="12">
        <f>IFERROR((I144/ABS(H144)),"")</f>
      </c>
    </row>
    <row r="145">
      <c r="A145" s="0" t="inlineStr">
        <is>
          <t xml:space="preserve">Rent and facilities</t>
        </is>
      </c>
      <c r="B145" s="0" t="inlineStr">
        <is>
          <t xml:space="preserve">United Kingdom</t>
        </is>
      </c>
      <c r="C145" s="0" t="inlineStr">
        <is>
          <t xml:space="preserve">G&amp;A</t>
        </is>
      </c>
      <c r="D145" s="12">
        <f>SUM('Outlook actuals from the ledger'!D145:K145)</f>
        <v>-305551</v>
      </c>
      <c r="E145" s="12">
        <f>SUM('Budget (annual operating plan)'!D145:K145)</f>
        <v>-300000</v>
      </c>
      <c r="F145" s="12">
        <f>(D145-E145)</f>
        <v>-5551</v>
      </c>
      <c r="G145" s="12">
        <f>SUM('Outlook actuals from the ledger'!D145:O145)</f>
        <v>-440610.79064714885</v>
      </c>
      <c r="H145" s="12">
        <f>SUM('Budget (annual operating plan)'!D145:O145)</f>
        <v>-453600</v>
      </c>
      <c r="I145" s="12">
        <f>(G145-H145)</f>
        <v>12989.209352851147</v>
      </c>
      <c r="J145" s="12">
        <f>IFERROR((I145/ABS(H145)),"")</f>
        <v>0.02863582308829618</v>
      </c>
    </row>
    <row r="146">
      <c r="A146" s="0" t="inlineStr">
        <is>
          <t xml:space="preserve">Professional fees</t>
        </is>
      </c>
      <c r="B146" s="0" t="inlineStr">
        <is>
          <t xml:space="preserve">United States</t>
        </is>
      </c>
      <c r="C146" s="0" t="inlineStr">
        <is>
          <t xml:space="preserve">Company (revenue and cost of revenue)</t>
        </is>
      </c>
      <c r="D146" s="12">
        <f>SUM('Outlook actuals from the ledger'!D146:K146)</f>
        <v>0</v>
      </c>
      <c r="E146" s="12">
        <f>SUM('Budget (annual operating plan)'!D146:K146)</f>
        <v>0</v>
      </c>
      <c r="F146" s="12">
        <f>(D146-E146)</f>
        <v>0</v>
      </c>
      <c r="G146" s="12">
        <f>SUM('Outlook actuals from the ledger'!D146:O146)</f>
        <v>0</v>
      </c>
      <c r="H146" s="12">
        <f>SUM('Budget (annual operating plan)'!D146:O146)</f>
        <v>0</v>
      </c>
      <c r="I146" s="12">
        <f>(G146-H146)</f>
        <v>0</v>
      </c>
      <c r="J146" s="12">
        <f>IFERROR((I146/ABS(H146)),"")</f>
      </c>
    </row>
    <row r="147">
      <c r="A147" s="0" t="inlineStr">
        <is>
          <t xml:space="preserve">Professional fees</t>
        </is>
      </c>
      <c r="B147" s="0" t="inlineStr">
        <is>
          <t xml:space="preserve">United States</t>
        </is>
      </c>
      <c r="C147" s="0" t="inlineStr">
        <is>
          <t xml:space="preserve">Sales</t>
        </is>
      </c>
      <c r="D147" s="12">
        <f>SUM('Outlook actuals from the ledger'!D147:K147)</f>
        <v>0</v>
      </c>
      <c r="E147" s="12">
        <f>SUM('Budget (annual operating plan)'!D147:K147)</f>
        <v>0</v>
      </c>
      <c r="F147" s="12">
        <f>(D147-E147)</f>
        <v>0</v>
      </c>
      <c r="G147" s="12">
        <f>SUM('Outlook actuals from the ledger'!D147:O147)</f>
        <v>0</v>
      </c>
      <c r="H147" s="12">
        <f>SUM('Budget (annual operating plan)'!D147:O147)</f>
        <v>0</v>
      </c>
      <c r="I147" s="12">
        <f>(G147-H147)</f>
        <v>0</v>
      </c>
      <c r="J147" s="12">
        <f>IFERROR((I147/ABS(H147)),"")</f>
      </c>
    </row>
    <row r="148">
      <c r="A148" s="0" t="inlineStr">
        <is>
          <t xml:space="preserve">Professional fees</t>
        </is>
      </c>
      <c r="B148" s="0" t="inlineStr">
        <is>
          <t xml:space="preserve">United States</t>
        </is>
      </c>
      <c r="C148" s="0" t="inlineStr">
        <is>
          <t xml:space="preserve">Marketing</t>
        </is>
      </c>
      <c r="D148" s="12">
        <f>SUM('Outlook actuals from the ledger'!D148:K148)</f>
        <v>0</v>
      </c>
      <c r="E148" s="12">
        <f>SUM('Budget (annual operating plan)'!D148:K148)</f>
        <v>0</v>
      </c>
      <c r="F148" s="12">
        <f>(D148-E148)</f>
        <v>0</v>
      </c>
      <c r="G148" s="12">
        <f>SUM('Outlook actuals from the ledger'!D148:O148)</f>
        <v>0</v>
      </c>
      <c r="H148" s="12">
        <f>SUM('Budget (annual operating plan)'!D148:O148)</f>
        <v>0</v>
      </c>
      <c r="I148" s="12">
        <f>(G148-H148)</f>
        <v>0</v>
      </c>
      <c r="J148" s="12">
        <f>IFERROR((I148/ABS(H148)),"")</f>
      </c>
    </row>
    <row r="149">
      <c r="A149" s="0" t="inlineStr">
        <is>
          <t xml:space="preserve">Professional fees</t>
        </is>
      </c>
      <c r="B149" s="0" t="inlineStr">
        <is>
          <t xml:space="preserve">United States</t>
        </is>
      </c>
      <c r="C149" s="0" t="inlineStr">
        <is>
          <t xml:space="preserve">Engineering</t>
        </is>
      </c>
      <c r="D149" s="12">
        <f>SUM('Outlook actuals from the ledger'!D149:K149)</f>
        <v>0</v>
      </c>
      <c r="E149" s="12">
        <f>SUM('Budget (annual operating plan)'!D149:K149)</f>
        <v>0</v>
      </c>
      <c r="F149" s="12">
        <f>(D149-E149)</f>
        <v>0</v>
      </c>
      <c r="G149" s="12">
        <f>SUM('Outlook actuals from the ledger'!D149:O149)</f>
        <v>0</v>
      </c>
      <c r="H149" s="12">
        <f>SUM('Budget (annual operating plan)'!D149:O149)</f>
        <v>0</v>
      </c>
      <c r="I149" s="12">
        <f>(G149-H149)</f>
        <v>0</v>
      </c>
      <c r="J149" s="12">
        <f>IFERROR((I149/ABS(H149)),"")</f>
      </c>
    </row>
    <row r="150">
      <c r="A150" s="0" t="inlineStr">
        <is>
          <t xml:space="preserve">Professional fees</t>
        </is>
      </c>
      <c r="B150" s="0" t="inlineStr">
        <is>
          <t xml:space="preserve">United States</t>
        </is>
      </c>
      <c r="C150" s="0" t="inlineStr">
        <is>
          <t xml:space="preserve">Customer success</t>
        </is>
      </c>
      <c r="D150" s="12">
        <f>SUM('Outlook actuals from the ledger'!D150:K150)</f>
        <v>0</v>
      </c>
      <c r="E150" s="12">
        <f>SUM('Budget (annual operating plan)'!D150:K150)</f>
        <v>0</v>
      </c>
      <c r="F150" s="12">
        <f>(D150-E150)</f>
        <v>0</v>
      </c>
      <c r="G150" s="12">
        <f>SUM('Outlook actuals from the ledger'!D150:O150)</f>
        <v>0</v>
      </c>
      <c r="H150" s="12">
        <f>SUM('Budget (annual operating plan)'!D150:O150)</f>
        <v>0</v>
      </c>
      <c r="I150" s="12">
        <f>(G150-H150)</f>
        <v>0</v>
      </c>
      <c r="J150" s="12">
        <f>IFERROR((I150/ABS(H150)),"")</f>
      </c>
    </row>
    <row r="151">
      <c r="A151" s="0" t="inlineStr">
        <is>
          <t xml:space="preserve">Professional fees</t>
        </is>
      </c>
      <c r="B151" s="0" t="inlineStr">
        <is>
          <t xml:space="preserve">United States</t>
        </is>
      </c>
      <c r="C151" s="0" t="inlineStr">
        <is>
          <t xml:space="preserve">G&amp;A</t>
        </is>
      </c>
      <c r="D151" s="12">
        <f>SUM('Outlook actuals from the ledger'!D151:K151)</f>
        <v>-273365</v>
      </c>
      <c r="E151" s="12">
        <f>SUM('Budget (annual operating plan)'!D151:K151)</f>
        <v>-275800</v>
      </c>
      <c r="F151" s="12">
        <f>(D151-E151)</f>
        <v>2435</v>
      </c>
      <c r="G151" s="12">
        <f>SUM('Outlook actuals from the ledger'!D151:O151)</f>
        <v>-411941.0633435511</v>
      </c>
      <c r="H151" s="12">
        <f>SUM('Budget (annual operating plan)'!D151:O151)</f>
        <v>-417000</v>
      </c>
      <c r="I151" s="12">
        <f>(G151-H151)</f>
        <v>5058.936656448874</v>
      </c>
      <c r="J151" s="12">
        <f>IFERROR((I151/ABS(H151)),"")</f>
        <v>0.012131742581412168</v>
      </c>
    </row>
    <row r="152">
      <c r="A152" s="0" t="inlineStr">
        <is>
          <t xml:space="preserve">Professional fees</t>
        </is>
      </c>
      <c r="B152" s="0" t="inlineStr">
        <is>
          <t xml:space="preserve">United Kingdom</t>
        </is>
      </c>
      <c r="C152" s="0" t="inlineStr">
        <is>
          <t xml:space="preserve">Company (revenue and cost of revenue)</t>
        </is>
      </c>
      <c r="D152" s="12">
        <f>SUM('Outlook actuals from the ledger'!D152:K152)</f>
        <v>0</v>
      </c>
      <c r="E152" s="12">
        <f>SUM('Budget (annual operating plan)'!D152:K152)</f>
        <v>0</v>
      </c>
      <c r="F152" s="12">
        <f>(D152-E152)</f>
        <v>0</v>
      </c>
      <c r="G152" s="12">
        <f>SUM('Outlook actuals from the ledger'!D152:O152)</f>
        <v>0</v>
      </c>
      <c r="H152" s="12">
        <f>SUM('Budget (annual operating plan)'!D152:O152)</f>
        <v>0</v>
      </c>
      <c r="I152" s="12">
        <f>(G152-H152)</f>
        <v>0</v>
      </c>
      <c r="J152" s="12">
        <f>IFERROR((I152/ABS(H152)),"")</f>
      </c>
    </row>
    <row r="153">
      <c r="A153" s="0" t="inlineStr">
        <is>
          <t xml:space="preserve">Professional fees</t>
        </is>
      </c>
      <c r="B153" s="0" t="inlineStr">
        <is>
          <t xml:space="preserve">United Kingdom</t>
        </is>
      </c>
      <c r="C153" s="0" t="inlineStr">
        <is>
          <t xml:space="preserve">Sales</t>
        </is>
      </c>
      <c r="D153" s="12">
        <f>SUM('Outlook actuals from the ledger'!D153:K153)</f>
        <v>0</v>
      </c>
      <c r="E153" s="12">
        <f>SUM('Budget (annual operating plan)'!D153:K153)</f>
        <v>0</v>
      </c>
      <c r="F153" s="12">
        <f>(D153-E153)</f>
        <v>0</v>
      </c>
      <c r="G153" s="12">
        <f>SUM('Outlook actuals from the ledger'!D153:O153)</f>
        <v>0</v>
      </c>
      <c r="H153" s="12">
        <f>SUM('Budget (annual operating plan)'!D153:O153)</f>
        <v>0</v>
      </c>
      <c r="I153" s="12">
        <f>(G153-H153)</f>
        <v>0</v>
      </c>
      <c r="J153" s="12">
        <f>IFERROR((I153/ABS(H153)),"")</f>
      </c>
    </row>
    <row r="154">
      <c r="A154" s="0" t="inlineStr">
        <is>
          <t xml:space="preserve">Professional fees</t>
        </is>
      </c>
      <c r="B154" s="0" t="inlineStr">
        <is>
          <t xml:space="preserve">United Kingdom</t>
        </is>
      </c>
      <c r="C154" s="0" t="inlineStr">
        <is>
          <t xml:space="preserve">Marketing</t>
        </is>
      </c>
      <c r="D154" s="12">
        <f>SUM('Outlook actuals from the ledger'!D154:K154)</f>
        <v>0</v>
      </c>
      <c r="E154" s="12">
        <f>SUM('Budget (annual operating plan)'!D154:K154)</f>
        <v>0</v>
      </c>
      <c r="F154" s="12">
        <f>(D154-E154)</f>
        <v>0</v>
      </c>
      <c r="G154" s="12">
        <f>SUM('Outlook actuals from the ledger'!D154:O154)</f>
        <v>0</v>
      </c>
      <c r="H154" s="12">
        <f>SUM('Budget (annual operating plan)'!D154:O154)</f>
        <v>0</v>
      </c>
      <c r="I154" s="12">
        <f>(G154-H154)</f>
        <v>0</v>
      </c>
      <c r="J154" s="12">
        <f>IFERROR((I154/ABS(H154)),"")</f>
      </c>
    </row>
    <row r="155">
      <c r="A155" s="0" t="inlineStr">
        <is>
          <t xml:space="preserve">Professional fees</t>
        </is>
      </c>
      <c r="B155" s="0" t="inlineStr">
        <is>
          <t xml:space="preserve">United Kingdom</t>
        </is>
      </c>
      <c r="C155" s="0" t="inlineStr">
        <is>
          <t xml:space="preserve">Engineering</t>
        </is>
      </c>
      <c r="D155" s="12">
        <f>SUM('Outlook actuals from the ledger'!D155:K155)</f>
        <v>0</v>
      </c>
      <c r="E155" s="12">
        <f>SUM('Budget (annual operating plan)'!D155:K155)</f>
        <v>0</v>
      </c>
      <c r="F155" s="12">
        <f>(D155-E155)</f>
        <v>0</v>
      </c>
      <c r="G155" s="12">
        <f>SUM('Outlook actuals from the ledger'!D155:O155)</f>
        <v>0</v>
      </c>
      <c r="H155" s="12">
        <f>SUM('Budget (annual operating plan)'!D155:O155)</f>
        <v>0</v>
      </c>
      <c r="I155" s="12">
        <f>(G155-H155)</f>
        <v>0</v>
      </c>
      <c r="J155" s="12">
        <f>IFERROR((I155/ABS(H155)),"")</f>
      </c>
    </row>
    <row r="156">
      <c r="A156" s="0" t="inlineStr">
        <is>
          <t xml:space="preserve">Professional fees</t>
        </is>
      </c>
      <c r="B156" s="0" t="inlineStr">
        <is>
          <t xml:space="preserve">United Kingdom</t>
        </is>
      </c>
      <c r="C156" s="0" t="inlineStr">
        <is>
          <t xml:space="preserve">Customer success</t>
        </is>
      </c>
      <c r="D156" s="12">
        <f>SUM('Outlook actuals from the ledger'!D156:K156)</f>
        <v>0</v>
      </c>
      <c r="E156" s="12">
        <f>SUM('Budget (annual operating plan)'!D156:K156)</f>
        <v>0</v>
      </c>
      <c r="F156" s="12">
        <f>(D156-E156)</f>
        <v>0</v>
      </c>
      <c r="G156" s="12">
        <f>SUM('Outlook actuals from the ledger'!D156:O156)</f>
        <v>0</v>
      </c>
      <c r="H156" s="12">
        <f>SUM('Budget (annual operating plan)'!D156:O156)</f>
        <v>0</v>
      </c>
      <c r="I156" s="12">
        <f>(G156-H156)</f>
        <v>0</v>
      </c>
      <c r="J156" s="12">
        <f>IFERROR((I156/ABS(H156)),"")</f>
      </c>
    </row>
    <row r="157">
      <c r="A157" s="0" t="inlineStr">
        <is>
          <t xml:space="preserve">Professional fees</t>
        </is>
      </c>
      <c r="B157" s="0" t="inlineStr">
        <is>
          <t xml:space="preserve">United Kingdom</t>
        </is>
      </c>
      <c r="C157" s="0" t="inlineStr">
        <is>
          <t xml:space="preserve">G&amp;A</t>
        </is>
      </c>
      <c r="D157" s="12">
        <f>SUM('Outlook actuals from the ledger'!D157:K157)</f>
        <v>-118587</v>
      </c>
      <c r="E157" s="12">
        <f>SUM('Budget (annual operating plan)'!D157:K157)</f>
        <v>-115900</v>
      </c>
      <c r="F157" s="12">
        <f>(D157-E157)</f>
        <v>-2687</v>
      </c>
      <c r="G157" s="12">
        <f>SUM('Outlook actuals from the ledger'!D157:O157)</f>
        <v>-176357.8174646795</v>
      </c>
      <c r="H157" s="12">
        <f>SUM('Budget (annual operating plan)'!D157:O157)</f>
        <v>-175200</v>
      </c>
      <c r="I157" s="12">
        <f>(G157-H157)</f>
        <v>-1157.8174646795087</v>
      </c>
      <c r="J157" s="12">
        <f>IFERROR((I157/ABS(H157)),"")</f>
        <v>-0.006608547172828246</v>
      </c>
    </row>
    <row r="158">
      <c r="A158" s="0" t="inlineStr">
        <is>
          <t xml:space="preserve">Net</t>
        </is>
      </c>
      <c r="B158" s="0" t="inlineStr">
        <is>
          <t xml:space="preserve">United States</t>
        </is>
      </c>
      <c r="C158" s="0" t="inlineStr">
        <is>
          <t xml:space="preserve">Company (revenue and cost of revenue)</t>
        </is>
      </c>
      <c r="D158" s="12">
        <f>SUM('Outlook actuals from the ledger'!D158:K158)</f>
        <v>29346433</v>
      </c>
      <c r="E158" s="12">
        <f>SUM('Budget (annual operating plan)'!D158:K158)</f>
        <v>30233400</v>
      </c>
      <c r="F158" s="12">
        <f>(D158-E158)</f>
        <v>-886967</v>
      </c>
      <c r="G158" s="12">
        <f>SUM('Outlook actuals from the ledger'!D158:O158)</f>
        <v>45182031.685240455</v>
      </c>
      <c r="H158" s="12">
        <f>SUM('Budget (annual operating plan)'!D158:O158)</f>
        <v>48106200</v>
      </c>
      <c r="I158" s="12">
        <f>(G158-H158)</f>
        <v>-2924168.314759545</v>
      </c>
      <c r="J158" s="12">
        <f>IFERROR((I158/ABS(H158)),"")</f>
        <v>-0.06078568489632407</v>
      </c>
    </row>
    <row r="159">
      <c r="A159" s="0" t="inlineStr">
        <is>
          <t xml:space="preserve">Net</t>
        </is>
      </c>
      <c r="B159" s="0" t="inlineStr">
        <is>
          <t xml:space="preserve">United States</t>
        </is>
      </c>
      <c r="C159" s="0" t="inlineStr">
        <is>
          <t xml:space="preserve">Sales</t>
        </is>
      </c>
      <c r="D159" s="12">
        <f>SUM('Outlook actuals from the ledger'!D159:K159)</f>
        <v>-5295380</v>
      </c>
      <c r="E159" s="12">
        <f>SUM('Budget (annual operating plan)'!D159:K159)</f>
        <v>-5295300</v>
      </c>
      <c r="F159" s="12">
        <f>(D159-E159)</f>
        <v>-80</v>
      </c>
      <c r="G159" s="12">
        <f>SUM('Outlook actuals from the ledger'!D159:O159)</f>
        <v>-8387819.131118918</v>
      </c>
      <c r="H159" s="12">
        <f>SUM('Budget (annual operating plan)'!D159:O159)</f>
        <v>-8444400</v>
      </c>
      <c r="I159" s="12">
        <f>(G159-H159)</f>
        <v>56580.86888108216</v>
      </c>
      <c r="J159" s="12">
        <f>IFERROR((I159/ABS(H159)),"")</f>
        <v>0.0067004013169771875</v>
      </c>
    </row>
    <row r="160">
      <c r="A160" s="0" t="inlineStr">
        <is>
          <t xml:space="preserve">Net</t>
        </is>
      </c>
      <c r="B160" s="0" t="inlineStr">
        <is>
          <t xml:space="preserve">United States</t>
        </is>
      </c>
      <c r="C160" s="0" t="inlineStr">
        <is>
          <t xml:space="preserve">Marketing</t>
        </is>
      </c>
      <c r="D160" s="12">
        <f>SUM('Outlook actuals from the ledger'!D160:K160)</f>
        <v>-4228473</v>
      </c>
      <c r="E160" s="12">
        <f>SUM('Budget (annual operating plan)'!D160:K160)</f>
        <v>-4219400</v>
      </c>
      <c r="F160" s="12">
        <f>(D160-E160)</f>
        <v>-9073</v>
      </c>
      <c r="G160" s="12">
        <f>SUM('Outlook actuals from the ledger'!D160:O160)</f>
        <v>-6577552.515983559</v>
      </c>
      <c r="H160" s="12">
        <f>SUM('Budget (annual operating plan)'!D160:O160)</f>
        <v>-6693000</v>
      </c>
      <c r="I160" s="12">
        <f>(G160-H160)</f>
        <v>115447.48401644081</v>
      </c>
      <c r="J160" s="12">
        <f>IFERROR((I160/ABS(H160)),"")</f>
        <v>0.017248989095538743</v>
      </c>
    </row>
    <row r="161">
      <c r="A161" s="0" t="inlineStr">
        <is>
          <t xml:space="preserve">Net</t>
        </is>
      </c>
      <c r="B161" s="0" t="inlineStr">
        <is>
          <t xml:space="preserve">United States</t>
        </is>
      </c>
      <c r="C161" s="0" t="inlineStr">
        <is>
          <t xml:space="preserve">Engineering</t>
        </is>
      </c>
      <c r="D161" s="12">
        <f>SUM('Outlook actuals from the ledger'!D161:K161)</f>
        <v>-10444615</v>
      </c>
      <c r="E161" s="12">
        <f>SUM('Budget (annual operating plan)'!D161:K161)</f>
        <v>-10173900</v>
      </c>
      <c r="F161" s="12">
        <f>(D161-E161)</f>
        <v>-270715</v>
      </c>
      <c r="G161" s="12">
        <f>SUM('Outlook actuals from the ledger'!D161:O161)</f>
        <v>-16601304.761726215</v>
      </c>
      <c r="H161" s="12">
        <f>SUM('Budget (annual operating plan)'!D161:O161)</f>
        <v>-16214600</v>
      </c>
      <c r="I161" s="12">
        <f>(G161-H161)</f>
        <v>-386704.7617262155</v>
      </c>
      <c r="J161" s="12">
        <f>IFERROR((I161/ABS(H161)),"")</f>
        <v>-0.023849170607120464</v>
      </c>
    </row>
    <row r="162">
      <c r="A162" s="0" t="inlineStr">
        <is>
          <t xml:space="preserve">Net</t>
        </is>
      </c>
      <c r="B162" s="0" t="inlineStr">
        <is>
          <t xml:space="preserve">United States</t>
        </is>
      </c>
      <c r="C162" s="0" t="inlineStr">
        <is>
          <t xml:space="preserve">Customer success</t>
        </is>
      </c>
      <c r="D162" s="12">
        <f>SUM('Outlook actuals from the ledger'!D162:K162)</f>
        <v>-1305948</v>
      </c>
      <c r="E162" s="12">
        <f>SUM('Budget (annual operating plan)'!D162:K162)</f>
        <v>-1286900</v>
      </c>
      <c r="F162" s="12">
        <f>(D162-E162)</f>
        <v>-19048</v>
      </c>
      <c r="G162" s="12">
        <f>SUM('Outlook actuals from the ledger'!D162:O162)</f>
        <v>-2050949.8654552973</v>
      </c>
      <c r="H162" s="12">
        <f>SUM('Budget (annual operating plan)'!D162:O162)</f>
        <v>-2031500</v>
      </c>
      <c r="I162" s="12">
        <f>(G162-H162)</f>
        <v>-19449.865455297288</v>
      </c>
      <c r="J162" s="12">
        <f>IFERROR((I162/ABS(H162)),"")</f>
        <v>-0.009574140022297459</v>
      </c>
    </row>
    <row r="163">
      <c r="A163" s="0" t="inlineStr">
        <is>
          <t xml:space="preserve">Net</t>
        </is>
      </c>
      <c r="B163" s="0" t="inlineStr">
        <is>
          <t xml:space="preserve">United States</t>
        </is>
      </c>
      <c r="C163" s="0" t="inlineStr">
        <is>
          <t xml:space="preserve">G&amp;A</t>
        </is>
      </c>
      <c r="D163" s="12">
        <f>SUM('Outlook actuals from the ledger'!D163:K163)</f>
        <v>-2423375</v>
      </c>
      <c r="E163" s="12">
        <f>SUM('Budget (annual operating plan)'!D163:K163)</f>
        <v>-2413200</v>
      </c>
      <c r="F163" s="12">
        <f>(D163-E163)</f>
        <v>-10175</v>
      </c>
      <c r="G163" s="12">
        <f>SUM('Outlook actuals from the ledger'!D163:O163)</f>
        <v>-3747097.021017457</v>
      </c>
      <c r="H163" s="12">
        <f>SUM('Budget (annual operating plan)'!D163:O163)</f>
        <v>-3716700</v>
      </c>
      <c r="I163" s="12">
        <f>(G163-H163)</f>
        <v>-30397.021017456893</v>
      </c>
      <c r="J163" s="12">
        <f>IFERROR((I163/ABS(H163)),"")</f>
        <v>-0.008178497327590845</v>
      </c>
    </row>
    <row r="164">
      <c r="A164" s="0" t="inlineStr">
        <is>
          <t xml:space="preserve">Net</t>
        </is>
      </c>
      <c r="B164" s="0" t="inlineStr">
        <is>
          <t xml:space="preserve">United Kingdom</t>
        </is>
      </c>
      <c r="C164" s="0" t="inlineStr">
        <is>
          <t xml:space="preserve">Company (revenue and cost of revenue)</t>
        </is>
      </c>
      <c r="D164" s="12">
        <f>SUM('Outlook actuals from the ledger'!D164:K164)</f>
        <v>12250132</v>
      </c>
      <c r="E164" s="12">
        <f>SUM('Budget (annual operating plan)'!D164:K164)</f>
        <v>12697800</v>
      </c>
      <c r="F164" s="12">
        <f>(D164-E164)</f>
        <v>-447668</v>
      </c>
      <c r="G164" s="12">
        <f>SUM('Outlook actuals from the ledger'!D164:O164)</f>
        <v>19023241.899655394</v>
      </c>
      <c r="H164" s="12">
        <f>SUM('Budget (annual operating plan)'!D164:O164)</f>
        <v>20204400</v>
      </c>
      <c r="I164" s="12">
        <f>(G164-H164)</f>
        <v>-1181158.1003446057</v>
      </c>
      <c r="J164" s="12">
        <f>IFERROR((I164/ABS(H164)),"")</f>
        <v>-0.05846043932730523</v>
      </c>
    </row>
    <row r="165">
      <c r="A165" s="0" t="inlineStr">
        <is>
          <t xml:space="preserve">Net</t>
        </is>
      </c>
      <c r="B165" s="0" t="inlineStr">
        <is>
          <t xml:space="preserve">United Kingdom</t>
        </is>
      </c>
      <c r="C165" s="0" t="inlineStr">
        <is>
          <t xml:space="preserve">Sales</t>
        </is>
      </c>
      <c r="D165" s="12">
        <f>SUM('Outlook actuals from the ledger'!D165:K165)</f>
        <v>-1881564</v>
      </c>
      <c r="E165" s="12">
        <f>SUM('Budget (annual operating plan)'!D165:K165)</f>
        <v>-1943300</v>
      </c>
      <c r="F165" s="12">
        <f>(D165-E165)</f>
        <v>61736</v>
      </c>
      <c r="G165" s="12">
        <f>SUM('Outlook actuals from the ledger'!D165:O165)</f>
        <v>-3032821.287217602</v>
      </c>
      <c r="H165" s="12">
        <f>SUM('Budget (annual operating plan)'!D165:O165)</f>
        <v>-3106100</v>
      </c>
      <c r="I165" s="12">
        <f>(G165-H165)</f>
        <v>73278.71278239787</v>
      </c>
      <c r="J165" s="12">
        <f>IFERROR((I165/ABS(H165)),"")</f>
        <v>0.02359187173059395</v>
      </c>
    </row>
    <row r="166">
      <c r="A166" s="0" t="inlineStr">
        <is>
          <t xml:space="preserve">Net</t>
        </is>
      </c>
      <c r="B166" s="0" t="inlineStr">
        <is>
          <t xml:space="preserve">United Kingdom</t>
        </is>
      </c>
      <c r="C166" s="0" t="inlineStr">
        <is>
          <t xml:space="preserve">Marketing</t>
        </is>
      </c>
      <c r="D166" s="12">
        <f>SUM('Outlook actuals from the ledger'!D166:K166)</f>
        <v>-1817570</v>
      </c>
      <c r="E166" s="12">
        <f>SUM('Budget (annual operating plan)'!D166:K166)</f>
        <v>-1777900</v>
      </c>
      <c r="F166" s="12">
        <f>(D166-E166)</f>
        <v>-39670</v>
      </c>
      <c r="G166" s="12">
        <f>SUM('Outlook actuals from the ledger'!D166:O166)</f>
        <v>-2829456.5861148094</v>
      </c>
      <c r="H166" s="12">
        <f>SUM('Budget (annual operating plan)'!D166:O166)</f>
        <v>-2826100</v>
      </c>
      <c r="I166" s="12">
        <f>(G166-H166)</f>
        <v>-3356.5861148093827</v>
      </c>
      <c r="J166" s="12">
        <f>IFERROR((I166/ABS(H166)),"")</f>
        <v>-0.001187709605042066</v>
      </c>
    </row>
    <row r="167">
      <c r="A167" s="0" t="inlineStr">
        <is>
          <t xml:space="preserve">Net</t>
        </is>
      </c>
      <c r="B167" s="0" t="inlineStr">
        <is>
          <t xml:space="preserve">United Kingdom</t>
        </is>
      </c>
      <c r="C167" s="0" t="inlineStr">
        <is>
          <t xml:space="preserve">Engineering</t>
        </is>
      </c>
      <c r="D167" s="12">
        <f>SUM('Outlook actuals from the ledger'!D167:K167)</f>
        <v>-4106001</v>
      </c>
      <c r="E167" s="12">
        <f>SUM('Budget (annual operating plan)'!D167:K167)</f>
        <v>-4022300</v>
      </c>
      <c r="F167" s="12">
        <f>(D167-E167)</f>
        <v>-83701</v>
      </c>
      <c r="G167" s="12">
        <f>SUM('Outlook actuals from the ledger'!D167:O167)</f>
        <v>-6641382.274348854</v>
      </c>
      <c r="H167" s="12">
        <f>SUM('Budget (annual operating plan)'!D167:O167)</f>
        <v>-6498500</v>
      </c>
      <c r="I167" s="12">
        <f>(G167-H167)</f>
        <v>-142882.2743488541</v>
      </c>
      <c r="J167" s="12">
        <f>IFERROR((I167/ABS(H167)),"")</f>
        <v>-0.02198696227573349</v>
      </c>
    </row>
    <row r="168">
      <c r="A168" s="0" t="inlineStr">
        <is>
          <t xml:space="preserve">Net</t>
        </is>
      </c>
      <c r="B168" s="0" t="inlineStr">
        <is>
          <t xml:space="preserve">United Kingdom</t>
        </is>
      </c>
      <c r="C168" s="0" t="inlineStr">
        <is>
          <t xml:space="preserve">Customer success</t>
        </is>
      </c>
      <c r="D168" s="12">
        <f>SUM('Outlook actuals from the ledger'!D168:K168)</f>
        <v>-459983</v>
      </c>
      <c r="E168" s="12">
        <f>SUM('Budget (annual operating plan)'!D168:K168)</f>
        <v>-452700</v>
      </c>
      <c r="F168" s="12">
        <f>(D168-E168)</f>
        <v>-7283</v>
      </c>
      <c r="G168" s="12">
        <f>SUM('Outlook actuals from the ledger'!D168:O168)</f>
        <v>-708037.6827988871</v>
      </c>
      <c r="H168" s="12">
        <f>SUM('Budget (annual operating plan)'!D168:O168)</f>
        <v>-698200</v>
      </c>
      <c r="I168" s="12">
        <f>(G168-H168)</f>
        <v>-9837.682798887137</v>
      </c>
      <c r="J168" s="12">
        <f>IFERROR((I168/ABS(H168)),"")</f>
        <v>-0.0140900641634018</v>
      </c>
    </row>
    <row r="169">
      <c r="A169" s="0" t="inlineStr">
        <is>
          <t xml:space="preserve">Net</t>
        </is>
      </c>
      <c r="B169" s="0" t="inlineStr">
        <is>
          <t xml:space="preserve">United Kingdom</t>
        </is>
      </c>
      <c r="C169" s="0" t="inlineStr">
        <is>
          <t xml:space="preserve">G&amp;A</t>
        </is>
      </c>
      <c r="D169" s="12">
        <f>SUM('Outlook actuals from the ledger'!D169:K169)</f>
        <v>-898429</v>
      </c>
      <c r="E169" s="12">
        <f>SUM('Budget (annual operating plan)'!D169:K169)</f>
        <v>-885100</v>
      </c>
      <c r="F169" s="12">
        <f>(D169-E169)</f>
        <v>-13329</v>
      </c>
      <c r="G169" s="12">
        <f>SUM('Outlook actuals from the ledger'!D169:O169)</f>
        <v>-1380889.819859036</v>
      </c>
      <c r="H169" s="12">
        <f>SUM('Budget (annual operating plan)'!D169:O169)</f>
        <v>-1384800</v>
      </c>
      <c r="I169" s="12">
        <f>(G169-H169)</f>
        <v>3910.1801409639884</v>
      </c>
      <c r="J169" s="12">
        <f>IFERROR((I169/ABS(H169)),"")</f>
        <v>0.0028236425050288767</v>
      </c>
    </row>
  </sheetData>
</worksheet>
</file>

<file path=xl/worksheets/sheet11.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s>
  <sheetData>
    <row r="1">
      <c r="A1" s="1" t="inlineStr">
        <is>
          <t xml:space="preserve">line</t>
        </is>
      </c>
      <c r="B1" s="1" t="inlineStr">
        <is>
          <t xml:space="preserve">subsidiary</t>
        </is>
      </c>
      <c r="C1" s="1" t="inlineStr">
        <is>
          <t xml:space="preserve">department</t>
        </is>
      </c>
      <c r="D1" s="1" t="inlineStr">
        <is>
          <t xml:space="preserve">YTD actual</t>
        </is>
      </c>
      <c r="E1" s="1" t="inlineStr">
        <is>
          <t xml:space="preserve">YTD budget</t>
        </is>
      </c>
      <c r="F1" s="1" t="inlineStr">
        <is>
          <t xml:space="preserve">YTD variance</t>
        </is>
      </c>
      <c r="G1" s="1" t="inlineStr">
        <is>
          <t xml:space="preserve">FY outlook</t>
        </is>
      </c>
      <c r="H1" s="1" t="inlineStr">
        <is>
          <t xml:space="preserve">FY budget</t>
        </is>
      </c>
      <c r="I1" s="1" t="inlineStr">
        <is>
          <t xml:space="preserve">FY variance</t>
        </is>
      </c>
      <c r="J1" s="1" t="inlineStr">
        <is>
          <t xml:space="preserve">FY variance %</t>
        </is>
      </c>
    </row>
    <row r="2">
      <c r="A2" s="0" t="inlineStr">
        <is>
          <t xml:space="preserve">Revenue</t>
        </is>
      </c>
      <c r="B2" s="0" t="inlineStr">
        <is>
          <t xml:space="preserve">United States</t>
        </is>
      </c>
      <c r="C2" s="0" t="inlineStr">
        <is>
          <t xml:space="preserve">Company (revenue and cost of revenue)</t>
        </is>
      </c>
      <c r="D2" s="12">
        <f>""</f>
      </c>
      <c r="E2" s="12">
        <f>""</f>
      </c>
      <c r="F2" s="12">
        <f>""</f>
      </c>
      <c r="G2" s="12">
        <f>""</f>
      </c>
      <c r="H2" s="12">
        <f>""</f>
      </c>
      <c r="I2" s="12">
        <f>""</f>
      </c>
      <c r="J2" s="12">
        <f>""</f>
      </c>
    </row>
    <row r="3">
      <c r="A3" s="0" t="inlineStr">
        <is>
          <t xml:space="preserve">Revenue</t>
        </is>
      </c>
      <c r="B3" s="0" t="inlineStr">
        <is>
          <t xml:space="preserve">United States</t>
        </is>
      </c>
      <c r="C3" s="0" t="inlineStr">
        <is>
          <t xml:space="preserve">Sales</t>
        </is>
      </c>
      <c r="D3" s="12">
        <f>""</f>
      </c>
      <c r="E3" s="12">
        <f>""</f>
      </c>
      <c r="F3" s="12">
        <f>""</f>
      </c>
      <c r="G3" s="12">
        <f>""</f>
      </c>
      <c r="H3" s="12">
        <f>""</f>
      </c>
      <c r="I3" s="12">
        <f>""</f>
      </c>
      <c r="J3" s="12">
        <f>""</f>
      </c>
    </row>
    <row r="4">
      <c r="A4" s="0" t="inlineStr">
        <is>
          <t xml:space="preserve">Revenue</t>
        </is>
      </c>
      <c r="B4" s="0" t="inlineStr">
        <is>
          <t xml:space="preserve">United States</t>
        </is>
      </c>
      <c r="C4" s="0" t="inlineStr">
        <is>
          <t xml:space="preserve">Marketing</t>
        </is>
      </c>
      <c r="D4" s="12">
        <f>""</f>
      </c>
      <c r="E4" s="12">
        <f>""</f>
      </c>
      <c r="F4" s="12">
        <f>""</f>
      </c>
      <c r="G4" s="12">
        <f>""</f>
      </c>
      <c r="H4" s="12">
        <f>""</f>
      </c>
      <c r="I4" s="12">
        <f>""</f>
      </c>
      <c r="J4" s="12">
        <f>""</f>
      </c>
    </row>
    <row r="5">
      <c r="A5" s="0" t="inlineStr">
        <is>
          <t xml:space="preserve">Revenue</t>
        </is>
      </c>
      <c r="B5" s="0" t="inlineStr">
        <is>
          <t xml:space="preserve">United States</t>
        </is>
      </c>
      <c r="C5" s="0" t="inlineStr">
        <is>
          <t xml:space="preserve">Engineering</t>
        </is>
      </c>
      <c r="D5" s="12">
        <f>""</f>
      </c>
      <c r="E5" s="12">
        <f>""</f>
      </c>
      <c r="F5" s="12">
        <f>""</f>
      </c>
      <c r="G5" s="12">
        <f>""</f>
      </c>
      <c r="H5" s="12">
        <f>""</f>
      </c>
      <c r="I5" s="12">
        <f>""</f>
      </c>
      <c r="J5" s="12">
        <f>""</f>
      </c>
    </row>
    <row r="6">
      <c r="A6" s="0" t="inlineStr">
        <is>
          <t xml:space="preserve">Revenue</t>
        </is>
      </c>
      <c r="B6" s="0" t="inlineStr">
        <is>
          <t xml:space="preserve">United States</t>
        </is>
      </c>
      <c r="C6" s="0" t="inlineStr">
        <is>
          <t xml:space="preserve">Customer success</t>
        </is>
      </c>
      <c r="D6" s="12">
        <f>""</f>
      </c>
      <c r="E6" s="12">
        <f>""</f>
      </c>
      <c r="F6" s="12">
        <f>""</f>
      </c>
      <c r="G6" s="12">
        <f>""</f>
      </c>
      <c r="H6" s="12">
        <f>""</f>
      </c>
      <c r="I6" s="12">
        <f>""</f>
      </c>
      <c r="J6" s="12">
        <f>""</f>
      </c>
    </row>
    <row r="7">
      <c r="A7" s="0" t="inlineStr">
        <is>
          <t xml:space="preserve">Revenue</t>
        </is>
      </c>
      <c r="B7" s="0" t="inlineStr">
        <is>
          <t xml:space="preserve">United States</t>
        </is>
      </c>
      <c r="C7" s="0" t="inlineStr">
        <is>
          <t xml:space="preserve">G&amp;A</t>
        </is>
      </c>
      <c r="D7" s="12">
        <f>""</f>
      </c>
      <c r="E7" s="12">
        <f>""</f>
      </c>
      <c r="F7" s="12">
        <f>""</f>
      </c>
      <c r="G7" s="12">
        <f>""</f>
      </c>
      <c r="H7" s="12">
        <f>""</f>
      </c>
      <c r="I7" s="12">
        <f>""</f>
      </c>
      <c r="J7" s="12">
        <f>""</f>
      </c>
    </row>
    <row r="8">
      <c r="A8" s="0" t="inlineStr">
        <is>
          <t xml:space="preserve">Revenue</t>
        </is>
      </c>
      <c r="B8" s="0" t="inlineStr">
        <is>
          <t xml:space="preserve">United Kingdom</t>
        </is>
      </c>
      <c r="C8" s="0" t="inlineStr">
        <is>
          <t xml:space="preserve">Company (revenue and cost of revenue)</t>
        </is>
      </c>
      <c r="D8" s="12">
        <f>""</f>
      </c>
      <c r="E8" s="12">
        <f>""</f>
      </c>
      <c r="F8" s="12">
        <f>""</f>
      </c>
      <c r="G8" s="12">
        <f>""</f>
      </c>
      <c r="H8" s="12">
        <f>""</f>
      </c>
      <c r="I8" s="12">
        <f>""</f>
      </c>
      <c r="J8" s="12">
        <f>""</f>
      </c>
    </row>
    <row r="9">
      <c r="A9" s="0" t="inlineStr">
        <is>
          <t xml:space="preserve">Revenue</t>
        </is>
      </c>
      <c r="B9" s="0" t="inlineStr">
        <is>
          <t xml:space="preserve">United Kingdom</t>
        </is>
      </c>
      <c r="C9" s="0" t="inlineStr">
        <is>
          <t xml:space="preserve">Sales</t>
        </is>
      </c>
      <c r="D9" s="12">
        <f>""</f>
      </c>
      <c r="E9" s="12">
        <f>""</f>
      </c>
      <c r="F9" s="12">
        <f>""</f>
      </c>
      <c r="G9" s="12">
        <f>""</f>
      </c>
      <c r="H9" s="12">
        <f>""</f>
      </c>
      <c r="I9" s="12">
        <f>""</f>
      </c>
      <c r="J9" s="12">
        <f>""</f>
      </c>
    </row>
    <row r="10">
      <c r="A10" s="0" t="inlineStr">
        <is>
          <t xml:space="preserve">Revenue</t>
        </is>
      </c>
      <c r="B10" s="0" t="inlineStr">
        <is>
          <t xml:space="preserve">United Kingdom</t>
        </is>
      </c>
      <c r="C10" s="0" t="inlineStr">
        <is>
          <t xml:space="preserve">Marketing</t>
        </is>
      </c>
      <c r="D10" s="12">
        <f>""</f>
      </c>
      <c r="E10" s="12">
        <f>""</f>
      </c>
      <c r="F10" s="12">
        <f>""</f>
      </c>
      <c r="G10" s="12">
        <f>""</f>
      </c>
      <c r="H10" s="12">
        <f>""</f>
      </c>
      <c r="I10" s="12">
        <f>""</f>
      </c>
      <c r="J10" s="12">
        <f>""</f>
      </c>
    </row>
    <row r="11">
      <c r="A11" s="0" t="inlineStr">
        <is>
          <t xml:space="preserve">Revenue</t>
        </is>
      </c>
      <c r="B11" s="0" t="inlineStr">
        <is>
          <t xml:space="preserve">United Kingdom</t>
        </is>
      </c>
      <c r="C11" s="0" t="inlineStr">
        <is>
          <t xml:space="preserve">Engineering</t>
        </is>
      </c>
      <c r="D11" s="12">
        <f>""</f>
      </c>
      <c r="E11" s="12">
        <f>""</f>
      </c>
      <c r="F11" s="12">
        <f>""</f>
      </c>
      <c r="G11" s="12">
        <f>""</f>
      </c>
      <c r="H11" s="12">
        <f>""</f>
      </c>
      <c r="I11" s="12">
        <f>""</f>
      </c>
      <c r="J11" s="12">
        <f>""</f>
      </c>
    </row>
    <row r="12">
      <c r="A12" s="0" t="inlineStr">
        <is>
          <t xml:space="preserve">Revenue</t>
        </is>
      </c>
      <c r="B12" s="0" t="inlineStr">
        <is>
          <t xml:space="preserve">United Kingdom</t>
        </is>
      </c>
      <c r="C12" s="0" t="inlineStr">
        <is>
          <t xml:space="preserve">Customer success</t>
        </is>
      </c>
      <c r="D12" s="12">
        <f>""</f>
      </c>
      <c r="E12" s="12">
        <f>""</f>
      </c>
      <c r="F12" s="12">
        <f>""</f>
      </c>
      <c r="G12" s="12">
        <f>""</f>
      </c>
      <c r="H12" s="12">
        <f>""</f>
      </c>
      <c r="I12" s="12">
        <f>""</f>
      </c>
      <c r="J12" s="12">
        <f>""</f>
      </c>
    </row>
    <row r="13">
      <c r="A13" s="0" t="inlineStr">
        <is>
          <t xml:space="preserve">Revenue</t>
        </is>
      </c>
      <c r="B13" s="0" t="inlineStr">
        <is>
          <t xml:space="preserve">United Kingdom</t>
        </is>
      </c>
      <c r="C13" s="0" t="inlineStr">
        <is>
          <t xml:space="preserve">G&amp;A</t>
        </is>
      </c>
      <c r="D13" s="12">
        <f>""</f>
      </c>
      <c r="E13" s="12">
        <f>""</f>
      </c>
      <c r="F13" s="12">
        <f>""</f>
      </c>
      <c r="G13" s="12">
        <f>""</f>
      </c>
      <c r="H13" s="12">
        <f>""</f>
      </c>
      <c r="I13" s="12">
        <f>""</f>
      </c>
      <c r="J13" s="12">
        <f>""</f>
      </c>
    </row>
    <row r="14">
      <c r="A14" s="0" t="inlineStr">
        <is>
          <t xml:space="preserve">Cost of revenue: hosting</t>
        </is>
      </c>
      <c r="B14" s="0" t="inlineStr">
        <is>
          <t xml:space="preserve">United States</t>
        </is>
      </c>
      <c r="C14" s="0" t="inlineStr">
        <is>
          <t xml:space="preserve">Company (revenue and cost of revenue)</t>
        </is>
      </c>
      <c r="D14" s="12">
        <f>""</f>
      </c>
      <c r="E14" s="12">
        <f>""</f>
      </c>
      <c r="F14" s="12">
        <f>""</f>
      </c>
      <c r="G14" s="12">
        <f>""</f>
      </c>
      <c r="H14" s="12">
        <f>""</f>
      </c>
      <c r="I14" s="12">
        <f>""</f>
      </c>
      <c r="J14" s="12">
        <f>""</f>
      </c>
    </row>
    <row r="15">
      <c r="A15" s="0" t="inlineStr">
        <is>
          <t xml:space="preserve">Cost of revenue: hosting</t>
        </is>
      </c>
      <c r="B15" s="0" t="inlineStr">
        <is>
          <t xml:space="preserve">United States</t>
        </is>
      </c>
      <c r="C15" s="0" t="inlineStr">
        <is>
          <t xml:space="preserve">Sales</t>
        </is>
      </c>
      <c r="D15" s="12">
        <f>""</f>
      </c>
      <c r="E15" s="12">
        <f>""</f>
      </c>
      <c r="F15" s="12">
        <f>""</f>
      </c>
      <c r="G15" s="12">
        <f>""</f>
      </c>
      <c r="H15" s="12">
        <f>""</f>
      </c>
      <c r="I15" s="12">
        <f>""</f>
      </c>
      <c r="J15" s="12">
        <f>""</f>
      </c>
    </row>
    <row r="16">
      <c r="A16" s="0" t="inlineStr">
        <is>
          <t xml:space="preserve">Cost of revenue: hosting</t>
        </is>
      </c>
      <c r="B16" s="0" t="inlineStr">
        <is>
          <t xml:space="preserve">United States</t>
        </is>
      </c>
      <c r="C16" s="0" t="inlineStr">
        <is>
          <t xml:space="preserve">Marketing</t>
        </is>
      </c>
      <c r="D16" s="12">
        <f>""</f>
      </c>
      <c r="E16" s="12">
        <f>""</f>
      </c>
      <c r="F16" s="12">
        <f>""</f>
      </c>
      <c r="G16" s="12">
        <f>""</f>
      </c>
      <c r="H16" s="12">
        <f>""</f>
      </c>
      <c r="I16" s="12">
        <f>""</f>
      </c>
      <c r="J16" s="12">
        <f>""</f>
      </c>
    </row>
    <row r="17">
      <c r="A17" s="0" t="inlineStr">
        <is>
          <t xml:space="preserve">Cost of revenue: hosting</t>
        </is>
      </c>
      <c r="B17" s="0" t="inlineStr">
        <is>
          <t xml:space="preserve">United States</t>
        </is>
      </c>
      <c r="C17" s="0" t="inlineStr">
        <is>
          <t xml:space="preserve">Engineering</t>
        </is>
      </c>
      <c r="D17" s="12">
        <f>""</f>
      </c>
      <c r="E17" s="12">
        <f>""</f>
      </c>
      <c r="F17" s="12">
        <f>""</f>
      </c>
      <c r="G17" s="12">
        <f>""</f>
      </c>
      <c r="H17" s="12">
        <f>""</f>
      </c>
      <c r="I17" s="12">
        <f>""</f>
      </c>
      <c r="J17" s="12">
        <f>""</f>
      </c>
    </row>
    <row r="18">
      <c r="A18" s="0" t="inlineStr">
        <is>
          <t xml:space="preserve">Cost of revenue: hosting</t>
        </is>
      </c>
      <c r="B18" s="0" t="inlineStr">
        <is>
          <t xml:space="preserve">United States</t>
        </is>
      </c>
      <c r="C18" s="0" t="inlineStr">
        <is>
          <t xml:space="preserve">Customer success</t>
        </is>
      </c>
      <c r="D18" s="12">
        <f>""</f>
      </c>
      <c r="E18" s="12">
        <f>""</f>
      </c>
      <c r="F18" s="12">
        <f>""</f>
      </c>
      <c r="G18" s="12">
        <f>""</f>
      </c>
      <c r="H18" s="12">
        <f>""</f>
      </c>
      <c r="I18" s="12">
        <f>""</f>
      </c>
      <c r="J18" s="12">
        <f>""</f>
      </c>
    </row>
    <row r="19">
      <c r="A19" s="0" t="inlineStr">
        <is>
          <t xml:space="preserve">Cost of revenue: hosting</t>
        </is>
      </c>
      <c r="B19" s="0" t="inlineStr">
        <is>
          <t xml:space="preserve">United States</t>
        </is>
      </c>
      <c r="C19" s="0" t="inlineStr">
        <is>
          <t xml:space="preserve">G&amp;A</t>
        </is>
      </c>
      <c r="D19" s="12">
        <f>""</f>
      </c>
      <c r="E19" s="12">
        <f>""</f>
      </c>
      <c r="F19" s="12">
        <f>""</f>
      </c>
      <c r="G19" s="12">
        <f>""</f>
      </c>
      <c r="H19" s="12">
        <f>""</f>
      </c>
      <c r="I19" s="12">
        <f>""</f>
      </c>
      <c r="J19" s="12">
        <f>""</f>
      </c>
    </row>
    <row r="20">
      <c r="A20" s="0" t="inlineStr">
        <is>
          <t xml:space="preserve">Cost of revenue: hosting</t>
        </is>
      </c>
      <c r="B20" s="0" t="inlineStr">
        <is>
          <t xml:space="preserve">United Kingdom</t>
        </is>
      </c>
      <c r="C20" s="0" t="inlineStr">
        <is>
          <t xml:space="preserve">Company (revenue and cost of revenue)</t>
        </is>
      </c>
      <c r="D20" s="12">
        <f>""</f>
      </c>
      <c r="E20" s="12">
        <f>""</f>
      </c>
      <c r="F20" s="12">
        <f>""</f>
      </c>
      <c r="G20" s="12">
        <f>""</f>
      </c>
      <c r="H20" s="12">
        <f>""</f>
      </c>
      <c r="I20" s="12">
        <f>""</f>
      </c>
      <c r="J20" s="12">
        <f>""</f>
      </c>
    </row>
    <row r="21">
      <c r="A21" s="0" t="inlineStr">
        <is>
          <t xml:space="preserve">Cost of revenue: hosting</t>
        </is>
      </c>
      <c r="B21" s="0" t="inlineStr">
        <is>
          <t xml:space="preserve">United Kingdom</t>
        </is>
      </c>
      <c r="C21" s="0" t="inlineStr">
        <is>
          <t xml:space="preserve">Sales</t>
        </is>
      </c>
      <c r="D21" s="12">
        <f>""</f>
      </c>
      <c r="E21" s="12">
        <f>""</f>
      </c>
      <c r="F21" s="12">
        <f>""</f>
      </c>
      <c r="G21" s="12">
        <f>""</f>
      </c>
      <c r="H21" s="12">
        <f>""</f>
      </c>
      <c r="I21" s="12">
        <f>""</f>
      </c>
      <c r="J21" s="12">
        <f>""</f>
      </c>
    </row>
    <row r="22">
      <c r="A22" s="0" t="inlineStr">
        <is>
          <t xml:space="preserve">Cost of revenue: hosting</t>
        </is>
      </c>
      <c r="B22" s="0" t="inlineStr">
        <is>
          <t xml:space="preserve">United Kingdom</t>
        </is>
      </c>
      <c r="C22" s="0" t="inlineStr">
        <is>
          <t xml:space="preserve">Marketing</t>
        </is>
      </c>
      <c r="D22" s="12">
        <f>""</f>
      </c>
      <c r="E22" s="12">
        <f>""</f>
      </c>
      <c r="F22" s="12">
        <f>""</f>
      </c>
      <c r="G22" s="12">
        <f>""</f>
      </c>
      <c r="H22" s="12">
        <f>""</f>
      </c>
      <c r="I22" s="12">
        <f>""</f>
      </c>
      <c r="J22" s="12">
        <f>""</f>
      </c>
    </row>
    <row r="23">
      <c r="A23" s="0" t="inlineStr">
        <is>
          <t xml:space="preserve">Cost of revenue: hosting</t>
        </is>
      </c>
      <c r="B23" s="0" t="inlineStr">
        <is>
          <t xml:space="preserve">United Kingdom</t>
        </is>
      </c>
      <c r="C23" s="0" t="inlineStr">
        <is>
          <t xml:space="preserve">Engineering</t>
        </is>
      </c>
      <c r="D23" s="12">
        <f>""</f>
      </c>
      <c r="E23" s="12">
        <f>""</f>
      </c>
      <c r="F23" s="12">
        <f>""</f>
      </c>
      <c r="G23" s="12">
        <f>""</f>
      </c>
      <c r="H23" s="12">
        <f>""</f>
      </c>
      <c r="I23" s="12">
        <f>""</f>
      </c>
      <c r="J23" s="12">
        <f>""</f>
      </c>
    </row>
    <row r="24">
      <c r="A24" s="0" t="inlineStr">
        <is>
          <t xml:space="preserve">Cost of revenue: hosting</t>
        </is>
      </c>
      <c r="B24" s="0" t="inlineStr">
        <is>
          <t xml:space="preserve">United Kingdom</t>
        </is>
      </c>
      <c r="C24" s="0" t="inlineStr">
        <is>
          <t xml:space="preserve">Customer success</t>
        </is>
      </c>
      <c r="D24" s="12">
        <f>""</f>
      </c>
      <c r="E24" s="12">
        <f>""</f>
      </c>
      <c r="F24" s="12">
        <f>""</f>
      </c>
      <c r="G24" s="12">
        <f>""</f>
      </c>
      <c r="H24" s="12">
        <f>""</f>
      </c>
      <c r="I24" s="12">
        <f>""</f>
      </c>
      <c r="J24" s="12">
        <f>""</f>
      </c>
    </row>
    <row r="25">
      <c r="A25" s="0" t="inlineStr">
        <is>
          <t xml:space="preserve">Cost of revenue: hosting</t>
        </is>
      </c>
      <c r="B25" s="0" t="inlineStr">
        <is>
          <t xml:space="preserve">United Kingdom</t>
        </is>
      </c>
      <c r="C25" s="0" t="inlineStr">
        <is>
          <t xml:space="preserve">G&amp;A</t>
        </is>
      </c>
      <c r="D25" s="12">
        <f>""</f>
      </c>
      <c r="E25" s="12">
        <f>""</f>
      </c>
      <c r="F25" s="12">
        <f>""</f>
      </c>
      <c r="G25" s="12">
        <f>""</f>
      </c>
      <c r="H25" s="12">
        <f>""</f>
      </c>
      <c r="I25" s="12">
        <f>""</f>
      </c>
      <c r="J25" s="12">
        <f>""</f>
      </c>
    </row>
    <row r="26">
      <c r="A26" s="0" t="inlineStr">
        <is>
          <t xml:space="preserve">Cost of revenue: support</t>
        </is>
      </c>
      <c r="B26" s="0" t="inlineStr">
        <is>
          <t xml:space="preserve">United States</t>
        </is>
      </c>
      <c r="C26" s="0" t="inlineStr">
        <is>
          <t xml:space="preserve">Company (revenue and cost of revenue)</t>
        </is>
      </c>
      <c r="D26" s="12">
        <f>""</f>
      </c>
      <c r="E26" s="12">
        <f>""</f>
      </c>
      <c r="F26" s="12">
        <f>""</f>
      </c>
      <c r="G26" s="12">
        <f>""</f>
      </c>
      <c r="H26" s="12">
        <f>""</f>
      </c>
      <c r="I26" s="12">
        <f>""</f>
      </c>
      <c r="J26" s="12">
        <f>""</f>
      </c>
    </row>
    <row r="27">
      <c r="A27" s="0" t="inlineStr">
        <is>
          <t xml:space="preserve">Cost of revenue: support</t>
        </is>
      </c>
      <c r="B27" s="0" t="inlineStr">
        <is>
          <t xml:space="preserve">United States</t>
        </is>
      </c>
      <c r="C27" s="0" t="inlineStr">
        <is>
          <t xml:space="preserve">Sales</t>
        </is>
      </c>
      <c r="D27" s="12">
        <f>""</f>
      </c>
      <c r="E27" s="12">
        <f>""</f>
      </c>
      <c r="F27" s="12">
        <f>""</f>
      </c>
      <c r="G27" s="12">
        <f>""</f>
      </c>
      <c r="H27" s="12">
        <f>""</f>
      </c>
      <c r="I27" s="12">
        <f>""</f>
      </c>
      <c r="J27" s="12">
        <f>""</f>
      </c>
    </row>
    <row r="28">
      <c r="A28" s="0" t="inlineStr">
        <is>
          <t xml:space="preserve">Cost of revenue: support</t>
        </is>
      </c>
      <c r="B28" s="0" t="inlineStr">
        <is>
          <t xml:space="preserve">United States</t>
        </is>
      </c>
      <c r="C28" s="0" t="inlineStr">
        <is>
          <t xml:space="preserve">Marketing</t>
        </is>
      </c>
      <c r="D28" s="12">
        <f>""</f>
      </c>
      <c r="E28" s="12">
        <f>""</f>
      </c>
      <c r="F28" s="12">
        <f>""</f>
      </c>
      <c r="G28" s="12">
        <f>""</f>
      </c>
      <c r="H28" s="12">
        <f>""</f>
      </c>
      <c r="I28" s="12">
        <f>""</f>
      </c>
      <c r="J28" s="12">
        <f>""</f>
      </c>
    </row>
    <row r="29">
      <c r="A29" s="0" t="inlineStr">
        <is>
          <t xml:space="preserve">Cost of revenue: support</t>
        </is>
      </c>
      <c r="B29" s="0" t="inlineStr">
        <is>
          <t xml:space="preserve">United States</t>
        </is>
      </c>
      <c r="C29" s="0" t="inlineStr">
        <is>
          <t xml:space="preserve">Engineering</t>
        </is>
      </c>
      <c r="D29" s="12">
        <f>""</f>
      </c>
      <c r="E29" s="12">
        <f>""</f>
      </c>
      <c r="F29" s="12">
        <f>""</f>
      </c>
      <c r="G29" s="12">
        <f>""</f>
      </c>
      <c r="H29" s="12">
        <f>""</f>
      </c>
      <c r="I29" s="12">
        <f>""</f>
      </c>
      <c r="J29" s="12">
        <f>""</f>
      </c>
    </row>
    <row r="30">
      <c r="A30" s="0" t="inlineStr">
        <is>
          <t xml:space="preserve">Cost of revenue: support</t>
        </is>
      </c>
      <c r="B30" s="0" t="inlineStr">
        <is>
          <t xml:space="preserve">United States</t>
        </is>
      </c>
      <c r="C30" s="0" t="inlineStr">
        <is>
          <t xml:space="preserve">Customer success</t>
        </is>
      </c>
      <c r="D30" s="12">
        <f>""</f>
      </c>
      <c r="E30" s="12">
        <f>""</f>
      </c>
      <c r="F30" s="12">
        <f>""</f>
      </c>
      <c r="G30" s="12">
        <f>""</f>
      </c>
      <c r="H30" s="12">
        <f>""</f>
      </c>
      <c r="I30" s="12">
        <f>""</f>
      </c>
      <c r="J30" s="12">
        <f>""</f>
      </c>
    </row>
    <row r="31">
      <c r="A31" s="0" t="inlineStr">
        <is>
          <t xml:space="preserve">Cost of revenue: support</t>
        </is>
      </c>
      <c r="B31" s="0" t="inlineStr">
        <is>
          <t xml:space="preserve">United States</t>
        </is>
      </c>
      <c r="C31" s="0" t="inlineStr">
        <is>
          <t xml:space="preserve">G&amp;A</t>
        </is>
      </c>
      <c r="D31" s="12">
        <f>""</f>
      </c>
      <c r="E31" s="12">
        <f>""</f>
      </c>
      <c r="F31" s="12">
        <f>""</f>
      </c>
      <c r="G31" s="12">
        <f>""</f>
      </c>
      <c r="H31" s="12">
        <f>""</f>
      </c>
      <c r="I31" s="12">
        <f>""</f>
      </c>
      <c r="J31" s="12">
        <f>""</f>
      </c>
    </row>
    <row r="32">
      <c r="A32" s="0" t="inlineStr">
        <is>
          <t xml:space="preserve">Cost of revenue: support</t>
        </is>
      </c>
      <c r="B32" s="0" t="inlineStr">
        <is>
          <t xml:space="preserve">United Kingdom</t>
        </is>
      </c>
      <c r="C32" s="0" t="inlineStr">
        <is>
          <t xml:space="preserve">Company (revenue and cost of revenue)</t>
        </is>
      </c>
      <c r="D32" s="12">
        <f>""</f>
      </c>
      <c r="E32" s="12">
        <f>""</f>
      </c>
      <c r="F32" s="12">
        <f>""</f>
      </c>
      <c r="G32" s="12">
        <f>""</f>
      </c>
      <c r="H32" s="12">
        <f>""</f>
      </c>
      <c r="I32" s="12">
        <f>""</f>
      </c>
      <c r="J32" s="12">
        <f>""</f>
      </c>
    </row>
    <row r="33">
      <c r="A33" s="0" t="inlineStr">
        <is>
          <t xml:space="preserve">Cost of revenue: support</t>
        </is>
      </c>
      <c r="B33" s="0" t="inlineStr">
        <is>
          <t xml:space="preserve">United Kingdom</t>
        </is>
      </c>
      <c r="C33" s="0" t="inlineStr">
        <is>
          <t xml:space="preserve">Sales</t>
        </is>
      </c>
      <c r="D33" s="12">
        <f>""</f>
      </c>
      <c r="E33" s="12">
        <f>""</f>
      </c>
      <c r="F33" s="12">
        <f>""</f>
      </c>
      <c r="G33" s="12">
        <f>""</f>
      </c>
      <c r="H33" s="12">
        <f>""</f>
      </c>
      <c r="I33" s="12">
        <f>""</f>
      </c>
      <c r="J33" s="12">
        <f>""</f>
      </c>
    </row>
    <row r="34">
      <c r="A34" s="0" t="inlineStr">
        <is>
          <t xml:space="preserve">Cost of revenue: support</t>
        </is>
      </c>
      <c r="B34" s="0" t="inlineStr">
        <is>
          <t xml:space="preserve">United Kingdom</t>
        </is>
      </c>
      <c r="C34" s="0" t="inlineStr">
        <is>
          <t xml:space="preserve">Marketing</t>
        </is>
      </c>
      <c r="D34" s="12">
        <f>""</f>
      </c>
      <c r="E34" s="12">
        <f>""</f>
      </c>
      <c r="F34" s="12">
        <f>""</f>
      </c>
      <c r="G34" s="12">
        <f>""</f>
      </c>
      <c r="H34" s="12">
        <f>""</f>
      </c>
      <c r="I34" s="12">
        <f>""</f>
      </c>
      <c r="J34" s="12">
        <f>""</f>
      </c>
    </row>
    <row r="35">
      <c r="A35" s="0" t="inlineStr">
        <is>
          <t xml:space="preserve">Cost of revenue: support</t>
        </is>
      </c>
      <c r="B35" s="0" t="inlineStr">
        <is>
          <t xml:space="preserve">United Kingdom</t>
        </is>
      </c>
      <c r="C35" s="0" t="inlineStr">
        <is>
          <t xml:space="preserve">Engineering</t>
        </is>
      </c>
      <c r="D35" s="12">
        <f>""</f>
      </c>
      <c r="E35" s="12">
        <f>""</f>
      </c>
      <c r="F35" s="12">
        <f>""</f>
      </c>
      <c r="G35" s="12">
        <f>""</f>
      </c>
      <c r="H35" s="12">
        <f>""</f>
      </c>
      <c r="I35" s="12">
        <f>""</f>
      </c>
      <c r="J35" s="12">
        <f>""</f>
      </c>
    </row>
    <row r="36">
      <c r="A36" s="0" t="inlineStr">
        <is>
          <t xml:space="preserve">Cost of revenue: support</t>
        </is>
      </c>
      <c r="B36" s="0" t="inlineStr">
        <is>
          <t xml:space="preserve">United Kingdom</t>
        </is>
      </c>
      <c r="C36" s="0" t="inlineStr">
        <is>
          <t xml:space="preserve">Customer success</t>
        </is>
      </c>
      <c r="D36" s="12">
        <f>""</f>
      </c>
      <c r="E36" s="12">
        <f>""</f>
      </c>
      <c r="F36" s="12">
        <f>""</f>
      </c>
      <c r="G36" s="12">
        <f>""</f>
      </c>
      <c r="H36" s="12">
        <f>""</f>
      </c>
      <c r="I36" s="12">
        <f>""</f>
      </c>
      <c r="J36" s="12">
        <f>""</f>
      </c>
    </row>
    <row r="37">
      <c r="A37" s="0" t="inlineStr">
        <is>
          <t xml:space="preserve">Cost of revenue: support</t>
        </is>
      </c>
      <c r="B37" s="0" t="inlineStr">
        <is>
          <t xml:space="preserve">United Kingdom</t>
        </is>
      </c>
      <c r="C37" s="0" t="inlineStr">
        <is>
          <t xml:space="preserve">G&amp;A</t>
        </is>
      </c>
      <c r="D37" s="12">
        <f>""</f>
      </c>
      <c r="E37" s="12">
        <f>""</f>
      </c>
      <c r="F37" s="12">
        <f>""</f>
      </c>
      <c r="G37" s="12">
        <f>""</f>
      </c>
      <c r="H37" s="12">
        <f>""</f>
      </c>
      <c r="I37" s="12">
        <f>""</f>
      </c>
      <c r="J37" s="12">
        <f>""</f>
      </c>
    </row>
    <row r="38">
      <c r="A38" s="0" t="inlineStr">
        <is>
          <t xml:space="preserve">Salaries</t>
        </is>
      </c>
      <c r="B38" s="0" t="inlineStr">
        <is>
          <t xml:space="preserve">United States</t>
        </is>
      </c>
      <c r="C38" s="0" t="inlineStr">
        <is>
          <t xml:space="preserve">Company (revenue and cost of revenue)</t>
        </is>
      </c>
      <c r="D38" s="12">
        <f>""</f>
      </c>
      <c r="E38" s="12">
        <f>""</f>
      </c>
      <c r="F38" s="12">
        <f>""</f>
      </c>
      <c r="G38" s="12">
        <f>""</f>
      </c>
      <c r="H38" s="12">
        <f>""</f>
      </c>
      <c r="I38" s="12">
        <f>""</f>
      </c>
      <c r="J38" s="12">
        <f>""</f>
      </c>
    </row>
    <row r="39">
      <c r="A39" s="0" t="inlineStr">
        <is>
          <t xml:space="preserve">Salaries</t>
        </is>
      </c>
      <c r="B39" s="0" t="inlineStr">
        <is>
          <t xml:space="preserve">United States</t>
        </is>
      </c>
      <c r="C39" s="0" t="inlineStr">
        <is>
          <t xml:space="preserve">Sales</t>
        </is>
      </c>
      <c r="D39" s="12">
        <f>""</f>
      </c>
      <c r="E39" s="12">
        <f>""</f>
      </c>
      <c r="F39" s="12">
        <f>""</f>
      </c>
      <c r="G39" s="12">
        <f>""</f>
      </c>
      <c r="H39" s="12">
        <f>""</f>
      </c>
      <c r="I39" s="12">
        <f>""</f>
      </c>
      <c r="J39" s="12">
        <f>""</f>
      </c>
    </row>
    <row r="40">
      <c r="A40" s="0" t="inlineStr">
        <is>
          <t xml:space="preserve">Salaries</t>
        </is>
      </c>
      <c r="B40" s="0" t="inlineStr">
        <is>
          <t xml:space="preserve">United States</t>
        </is>
      </c>
      <c r="C40" s="0" t="inlineStr">
        <is>
          <t xml:space="preserve">Marketing</t>
        </is>
      </c>
      <c r="D40" s="12">
        <f>""</f>
      </c>
      <c r="E40" s="12">
        <f>""</f>
      </c>
      <c r="F40" s="12">
        <f>""</f>
      </c>
      <c r="G40" s="12">
        <f>""</f>
      </c>
      <c r="H40" s="12">
        <f>""</f>
      </c>
      <c r="I40" s="12">
        <f>""</f>
      </c>
      <c r="J40" s="12">
        <f>""</f>
      </c>
    </row>
    <row r="41">
      <c r="A41" s="0" t="inlineStr">
        <is>
          <t xml:space="preserve">Salaries</t>
        </is>
      </c>
      <c r="B41" s="0" t="inlineStr">
        <is>
          <t xml:space="preserve">United States</t>
        </is>
      </c>
      <c r="C41" s="0" t="inlineStr">
        <is>
          <t xml:space="preserve">Engineering</t>
        </is>
      </c>
      <c r="D41" s="12">
        <f>""</f>
      </c>
      <c r="E41" s="12">
        <f>""</f>
      </c>
      <c r="F41" s="12">
        <f>""</f>
      </c>
      <c r="G41" s="12">
        <f>""</f>
      </c>
      <c r="H41" s="12">
        <f>""</f>
      </c>
      <c r="I41" s="12">
        <f>""</f>
      </c>
      <c r="J41" s="12">
        <f>""</f>
      </c>
    </row>
    <row r="42">
      <c r="A42" s="0" t="inlineStr">
        <is>
          <t xml:space="preserve">Salaries</t>
        </is>
      </c>
      <c r="B42" s="0" t="inlineStr">
        <is>
          <t xml:space="preserve">United States</t>
        </is>
      </c>
      <c r="C42" s="0" t="inlineStr">
        <is>
          <t xml:space="preserve">Customer success</t>
        </is>
      </c>
      <c r="D42" s="12">
        <f>""</f>
      </c>
      <c r="E42" s="12">
        <f>""</f>
      </c>
      <c r="F42" s="12">
        <f>""</f>
      </c>
      <c r="G42" s="12">
        <f>""</f>
      </c>
      <c r="H42" s="12">
        <f>""</f>
      </c>
      <c r="I42" s="12">
        <f>""</f>
      </c>
      <c r="J42" s="12">
        <f>""</f>
      </c>
    </row>
    <row r="43">
      <c r="A43" s="0" t="inlineStr">
        <is>
          <t xml:space="preserve">Salaries</t>
        </is>
      </c>
      <c r="B43" s="0" t="inlineStr">
        <is>
          <t xml:space="preserve">United States</t>
        </is>
      </c>
      <c r="C43" s="0" t="inlineStr">
        <is>
          <t xml:space="preserve">G&amp;A</t>
        </is>
      </c>
      <c r="D43" s="12">
        <f>""</f>
      </c>
      <c r="E43" s="12">
        <f>""</f>
      </c>
      <c r="F43" s="12">
        <f>""</f>
      </c>
      <c r="G43" s="12">
        <f>""</f>
      </c>
      <c r="H43" s="12">
        <f>""</f>
      </c>
      <c r="I43" s="12">
        <f>""</f>
      </c>
      <c r="J43" s="12">
        <f>""</f>
      </c>
    </row>
    <row r="44">
      <c r="A44" s="0" t="inlineStr">
        <is>
          <t xml:space="preserve">Salaries</t>
        </is>
      </c>
      <c r="B44" s="0" t="inlineStr">
        <is>
          <t xml:space="preserve">United Kingdom</t>
        </is>
      </c>
      <c r="C44" s="0" t="inlineStr">
        <is>
          <t xml:space="preserve">Company (revenue and cost of revenue)</t>
        </is>
      </c>
      <c r="D44" s="12">
        <f>""</f>
      </c>
      <c r="E44" s="12">
        <f>""</f>
      </c>
      <c r="F44" s="12">
        <f>""</f>
      </c>
      <c r="G44" s="12">
        <f>""</f>
      </c>
      <c r="H44" s="12">
        <f>""</f>
      </c>
      <c r="I44" s="12">
        <f>""</f>
      </c>
      <c r="J44" s="12">
        <f>""</f>
      </c>
    </row>
    <row r="45">
      <c r="A45" s="0" t="inlineStr">
        <is>
          <t xml:space="preserve">Salaries</t>
        </is>
      </c>
      <c r="B45" s="0" t="inlineStr">
        <is>
          <t xml:space="preserve">United Kingdom</t>
        </is>
      </c>
      <c r="C45" s="0" t="inlineStr">
        <is>
          <t xml:space="preserve">Sales</t>
        </is>
      </c>
      <c r="D45" s="12">
        <f>""</f>
      </c>
      <c r="E45" s="12">
        <f>""</f>
      </c>
      <c r="F45" s="12">
        <f>""</f>
      </c>
      <c r="G45" s="12">
        <f>""</f>
      </c>
      <c r="H45" s="12">
        <f>""</f>
      </c>
      <c r="I45" s="12">
        <f>""</f>
      </c>
      <c r="J45" s="12">
        <f>""</f>
      </c>
    </row>
    <row r="46">
      <c r="A46" s="0" t="inlineStr">
        <is>
          <t xml:space="preserve">Salaries</t>
        </is>
      </c>
      <c r="B46" s="0" t="inlineStr">
        <is>
          <t xml:space="preserve">United Kingdom</t>
        </is>
      </c>
      <c r="C46" s="0" t="inlineStr">
        <is>
          <t xml:space="preserve">Marketing</t>
        </is>
      </c>
      <c r="D46" s="12">
        <f>""</f>
      </c>
      <c r="E46" s="12">
        <f>""</f>
      </c>
      <c r="F46" s="12">
        <f>""</f>
      </c>
      <c r="G46" s="12">
        <f>""</f>
      </c>
      <c r="H46" s="12">
        <f>""</f>
      </c>
      <c r="I46" s="12">
        <f>""</f>
      </c>
      <c r="J46" s="12">
        <f>""</f>
      </c>
    </row>
    <row r="47">
      <c r="A47" s="0" t="inlineStr">
        <is>
          <t xml:space="preserve">Salaries</t>
        </is>
      </c>
      <c r="B47" s="0" t="inlineStr">
        <is>
          <t xml:space="preserve">United Kingdom</t>
        </is>
      </c>
      <c r="C47" s="0" t="inlineStr">
        <is>
          <t xml:space="preserve">Engineering</t>
        </is>
      </c>
      <c r="D47" s="12">
        <f>""</f>
      </c>
      <c r="E47" s="12">
        <f>""</f>
      </c>
      <c r="F47" s="12">
        <f>""</f>
      </c>
      <c r="G47" s="12">
        <f>""</f>
      </c>
      <c r="H47" s="12">
        <f>""</f>
      </c>
      <c r="I47" s="12">
        <f>""</f>
      </c>
      <c r="J47" s="12">
        <f>""</f>
      </c>
    </row>
    <row r="48">
      <c r="A48" s="0" t="inlineStr">
        <is>
          <t xml:space="preserve">Salaries</t>
        </is>
      </c>
      <c r="B48" s="0" t="inlineStr">
        <is>
          <t xml:space="preserve">United Kingdom</t>
        </is>
      </c>
      <c r="C48" s="0" t="inlineStr">
        <is>
          <t xml:space="preserve">Customer success</t>
        </is>
      </c>
      <c r="D48" s="12">
        <f>""</f>
      </c>
      <c r="E48" s="12">
        <f>""</f>
      </c>
      <c r="F48" s="12">
        <f>""</f>
      </c>
      <c r="G48" s="12">
        <f>""</f>
      </c>
      <c r="H48" s="12">
        <f>""</f>
      </c>
      <c r="I48" s="12">
        <f>""</f>
      </c>
      <c r="J48" s="12">
        <f>""</f>
      </c>
    </row>
    <row r="49">
      <c r="A49" s="0" t="inlineStr">
        <is>
          <t xml:space="preserve">Salaries</t>
        </is>
      </c>
      <c r="B49" s="0" t="inlineStr">
        <is>
          <t xml:space="preserve">United Kingdom</t>
        </is>
      </c>
      <c r="C49" s="0" t="inlineStr">
        <is>
          <t xml:space="preserve">G&amp;A</t>
        </is>
      </c>
      <c r="D49" s="12">
        <f>""</f>
      </c>
      <c r="E49" s="12">
        <f>""</f>
      </c>
      <c r="F49" s="12">
        <f>""</f>
      </c>
      <c r="G49" s="12">
        <f>""</f>
      </c>
      <c r="H49" s="12">
        <f>""</f>
      </c>
      <c r="I49" s="12">
        <f>""</f>
      </c>
      <c r="J49" s="12">
        <f>""</f>
      </c>
    </row>
    <row r="50">
      <c r="A50" s="0" t="inlineStr">
        <is>
          <t xml:space="preserve">Benefits and payroll taxes</t>
        </is>
      </c>
      <c r="B50" s="0" t="inlineStr">
        <is>
          <t xml:space="preserve">United States</t>
        </is>
      </c>
      <c r="C50" s="0" t="inlineStr">
        <is>
          <t xml:space="preserve">Company (revenue and cost of revenue)</t>
        </is>
      </c>
      <c r="D50" s="12">
        <f>""</f>
      </c>
      <c r="E50" s="12">
        <f>""</f>
      </c>
      <c r="F50" s="12">
        <f>""</f>
      </c>
      <c r="G50" s="12">
        <f>""</f>
      </c>
      <c r="H50" s="12">
        <f>""</f>
      </c>
      <c r="I50" s="12">
        <f>""</f>
      </c>
      <c r="J50" s="12">
        <f>""</f>
      </c>
    </row>
    <row r="51">
      <c r="A51" s="0" t="inlineStr">
        <is>
          <t xml:space="preserve">Benefits and payroll taxes</t>
        </is>
      </c>
      <c r="B51" s="0" t="inlineStr">
        <is>
          <t xml:space="preserve">United States</t>
        </is>
      </c>
      <c r="C51" s="0" t="inlineStr">
        <is>
          <t xml:space="preserve">Sales</t>
        </is>
      </c>
      <c r="D51" s="12">
        <f>""</f>
      </c>
      <c r="E51" s="12">
        <f>""</f>
      </c>
      <c r="F51" s="12">
        <f>""</f>
      </c>
      <c r="G51" s="12">
        <f>""</f>
      </c>
      <c r="H51" s="12">
        <f>""</f>
      </c>
      <c r="I51" s="12">
        <f>""</f>
      </c>
      <c r="J51" s="12">
        <f>""</f>
      </c>
    </row>
    <row r="52">
      <c r="A52" s="0" t="inlineStr">
        <is>
          <t xml:space="preserve">Benefits and payroll taxes</t>
        </is>
      </c>
      <c r="B52" s="0" t="inlineStr">
        <is>
          <t xml:space="preserve">United States</t>
        </is>
      </c>
      <c r="C52" s="0" t="inlineStr">
        <is>
          <t xml:space="preserve">Marketing</t>
        </is>
      </c>
      <c r="D52" s="12">
        <f>""</f>
      </c>
      <c r="E52" s="12">
        <f>""</f>
      </c>
      <c r="F52" s="12">
        <f>""</f>
      </c>
      <c r="G52" s="12">
        <f>""</f>
      </c>
      <c r="H52" s="12">
        <f>""</f>
      </c>
      <c r="I52" s="12">
        <f>""</f>
      </c>
      <c r="J52" s="12">
        <f>""</f>
      </c>
    </row>
    <row r="53">
      <c r="A53" s="0" t="inlineStr">
        <is>
          <t xml:space="preserve">Benefits and payroll taxes</t>
        </is>
      </c>
      <c r="B53" s="0" t="inlineStr">
        <is>
          <t xml:space="preserve">United States</t>
        </is>
      </c>
      <c r="C53" s="0" t="inlineStr">
        <is>
          <t xml:space="preserve">Engineering</t>
        </is>
      </c>
      <c r="D53" s="12">
        <f>""</f>
      </c>
      <c r="E53" s="12">
        <f>""</f>
      </c>
      <c r="F53" s="12">
        <f>""</f>
      </c>
      <c r="G53" s="12">
        <f>""</f>
      </c>
      <c r="H53" s="12">
        <f>""</f>
      </c>
      <c r="I53" s="12">
        <f>""</f>
      </c>
      <c r="J53" s="12">
        <f>""</f>
      </c>
    </row>
    <row r="54">
      <c r="A54" s="0" t="inlineStr">
        <is>
          <t xml:space="preserve">Benefits and payroll taxes</t>
        </is>
      </c>
      <c r="B54" s="0" t="inlineStr">
        <is>
          <t xml:space="preserve">United States</t>
        </is>
      </c>
      <c r="C54" s="0" t="inlineStr">
        <is>
          <t xml:space="preserve">Customer success</t>
        </is>
      </c>
      <c r="D54" s="12">
        <f>""</f>
      </c>
      <c r="E54" s="12">
        <f>""</f>
      </c>
      <c r="F54" s="12">
        <f>""</f>
      </c>
      <c r="G54" s="12">
        <f>""</f>
      </c>
      <c r="H54" s="12">
        <f>""</f>
      </c>
      <c r="I54" s="12">
        <f>""</f>
      </c>
      <c r="J54" s="12">
        <f>""</f>
      </c>
    </row>
    <row r="55">
      <c r="A55" s="0" t="inlineStr">
        <is>
          <t xml:space="preserve">Benefits and payroll taxes</t>
        </is>
      </c>
      <c r="B55" s="0" t="inlineStr">
        <is>
          <t xml:space="preserve">United States</t>
        </is>
      </c>
      <c r="C55" s="0" t="inlineStr">
        <is>
          <t xml:space="preserve">G&amp;A</t>
        </is>
      </c>
      <c r="D55" s="12">
        <f>""</f>
      </c>
      <c r="E55" s="12">
        <f>""</f>
      </c>
      <c r="F55" s="12">
        <f>""</f>
      </c>
      <c r="G55" s="12">
        <f>""</f>
      </c>
      <c r="H55" s="12">
        <f>""</f>
      </c>
      <c r="I55" s="12">
        <f>""</f>
      </c>
      <c r="J55" s="12">
        <f>""</f>
      </c>
    </row>
    <row r="56">
      <c r="A56" s="0" t="inlineStr">
        <is>
          <t xml:space="preserve">Benefits and payroll taxes</t>
        </is>
      </c>
      <c r="B56" s="0" t="inlineStr">
        <is>
          <t xml:space="preserve">United Kingdom</t>
        </is>
      </c>
      <c r="C56" s="0" t="inlineStr">
        <is>
          <t xml:space="preserve">Company (revenue and cost of revenue)</t>
        </is>
      </c>
      <c r="D56" s="12">
        <f>""</f>
      </c>
      <c r="E56" s="12">
        <f>""</f>
      </c>
      <c r="F56" s="12">
        <f>""</f>
      </c>
      <c r="G56" s="12">
        <f>""</f>
      </c>
      <c r="H56" s="12">
        <f>""</f>
      </c>
      <c r="I56" s="12">
        <f>""</f>
      </c>
      <c r="J56" s="12">
        <f>""</f>
      </c>
    </row>
    <row r="57">
      <c r="A57" s="0" t="inlineStr">
        <is>
          <t xml:space="preserve">Benefits and payroll taxes</t>
        </is>
      </c>
      <c r="B57" s="0" t="inlineStr">
        <is>
          <t xml:space="preserve">United Kingdom</t>
        </is>
      </c>
      <c r="C57" s="0" t="inlineStr">
        <is>
          <t xml:space="preserve">Sales</t>
        </is>
      </c>
      <c r="D57" s="12">
        <f>""</f>
      </c>
      <c r="E57" s="12">
        <f>""</f>
      </c>
      <c r="F57" s="12">
        <f>""</f>
      </c>
      <c r="G57" s="12">
        <f>""</f>
      </c>
      <c r="H57" s="12">
        <f>""</f>
      </c>
      <c r="I57" s="12">
        <f>""</f>
      </c>
      <c r="J57" s="12">
        <f>""</f>
      </c>
    </row>
    <row r="58">
      <c r="A58" s="0" t="inlineStr">
        <is>
          <t xml:space="preserve">Benefits and payroll taxes</t>
        </is>
      </c>
      <c r="B58" s="0" t="inlineStr">
        <is>
          <t xml:space="preserve">United Kingdom</t>
        </is>
      </c>
      <c r="C58" s="0" t="inlineStr">
        <is>
          <t xml:space="preserve">Marketing</t>
        </is>
      </c>
      <c r="D58" s="12">
        <f>""</f>
      </c>
      <c r="E58" s="12">
        <f>""</f>
      </c>
      <c r="F58" s="12">
        <f>""</f>
      </c>
      <c r="G58" s="12">
        <f>""</f>
      </c>
      <c r="H58" s="12">
        <f>""</f>
      </c>
      <c r="I58" s="12">
        <f>""</f>
      </c>
      <c r="J58" s="12">
        <f>""</f>
      </c>
    </row>
    <row r="59">
      <c r="A59" s="0" t="inlineStr">
        <is>
          <t xml:space="preserve">Benefits and payroll taxes</t>
        </is>
      </c>
      <c r="B59" s="0" t="inlineStr">
        <is>
          <t xml:space="preserve">United Kingdom</t>
        </is>
      </c>
      <c r="C59" s="0" t="inlineStr">
        <is>
          <t xml:space="preserve">Engineering</t>
        </is>
      </c>
      <c r="D59" s="12">
        <f>""</f>
      </c>
      <c r="E59" s="12">
        <f>""</f>
      </c>
      <c r="F59" s="12">
        <f>""</f>
      </c>
      <c r="G59" s="12">
        <f>""</f>
      </c>
      <c r="H59" s="12">
        <f>""</f>
      </c>
      <c r="I59" s="12">
        <f>""</f>
      </c>
      <c r="J59" s="12">
        <f>""</f>
      </c>
    </row>
    <row r="60">
      <c r="A60" s="0" t="inlineStr">
        <is>
          <t xml:space="preserve">Benefits and payroll taxes</t>
        </is>
      </c>
      <c r="B60" s="0" t="inlineStr">
        <is>
          <t xml:space="preserve">United Kingdom</t>
        </is>
      </c>
      <c r="C60" s="0" t="inlineStr">
        <is>
          <t xml:space="preserve">Customer success</t>
        </is>
      </c>
      <c r="D60" s="12">
        <f>""</f>
      </c>
      <c r="E60" s="12">
        <f>""</f>
      </c>
      <c r="F60" s="12">
        <f>""</f>
      </c>
      <c r="G60" s="12">
        <f>""</f>
      </c>
      <c r="H60" s="12">
        <f>""</f>
      </c>
      <c r="I60" s="12">
        <f>""</f>
      </c>
      <c r="J60" s="12">
        <f>""</f>
      </c>
    </row>
    <row r="61">
      <c r="A61" s="0" t="inlineStr">
        <is>
          <t xml:space="preserve">Benefits and payroll taxes</t>
        </is>
      </c>
      <c r="B61" s="0" t="inlineStr">
        <is>
          <t xml:space="preserve">United Kingdom</t>
        </is>
      </c>
      <c r="C61" s="0" t="inlineStr">
        <is>
          <t xml:space="preserve">G&amp;A</t>
        </is>
      </c>
      <c r="D61" s="12">
        <f>""</f>
      </c>
      <c r="E61" s="12">
        <f>""</f>
      </c>
      <c r="F61" s="12">
        <f>""</f>
      </c>
      <c r="G61" s="12">
        <f>""</f>
      </c>
      <c r="H61" s="12">
        <f>""</f>
      </c>
      <c r="I61" s="12">
        <f>""</f>
      </c>
      <c r="J61" s="12">
        <f>""</f>
      </c>
    </row>
    <row r="62">
      <c r="A62" s="0" t="inlineStr">
        <is>
          <t xml:space="preserve">Commissions</t>
        </is>
      </c>
      <c r="B62" s="0" t="inlineStr">
        <is>
          <t xml:space="preserve">United States</t>
        </is>
      </c>
      <c r="C62" s="0" t="inlineStr">
        <is>
          <t xml:space="preserve">Company (revenue and cost of revenue)</t>
        </is>
      </c>
      <c r="D62" s="12">
        <f>""</f>
      </c>
      <c r="E62" s="12">
        <f>""</f>
      </c>
      <c r="F62" s="12">
        <f>""</f>
      </c>
      <c r="G62" s="12">
        <f>""</f>
      </c>
      <c r="H62" s="12">
        <f>""</f>
      </c>
      <c r="I62" s="12">
        <f>""</f>
      </c>
      <c r="J62" s="12">
        <f>""</f>
      </c>
    </row>
    <row r="63">
      <c r="A63" s="0" t="inlineStr">
        <is>
          <t xml:space="preserve">Commissions</t>
        </is>
      </c>
      <c r="B63" s="0" t="inlineStr">
        <is>
          <t xml:space="preserve">United States</t>
        </is>
      </c>
      <c r="C63" s="0" t="inlineStr">
        <is>
          <t xml:space="preserve">Sales</t>
        </is>
      </c>
      <c r="D63" s="12">
        <f>""</f>
      </c>
      <c r="E63" s="12">
        <f>""</f>
      </c>
      <c r="F63" s="12">
        <f>""</f>
      </c>
      <c r="G63" s="12">
        <f>""</f>
      </c>
      <c r="H63" s="12">
        <f>""</f>
      </c>
      <c r="I63" s="12">
        <f>""</f>
      </c>
      <c r="J63" s="12">
        <f>""</f>
      </c>
    </row>
    <row r="64">
      <c r="A64" s="0" t="inlineStr">
        <is>
          <t xml:space="preserve">Commissions</t>
        </is>
      </c>
      <c r="B64" s="0" t="inlineStr">
        <is>
          <t xml:space="preserve">United States</t>
        </is>
      </c>
      <c r="C64" s="0" t="inlineStr">
        <is>
          <t xml:space="preserve">Marketing</t>
        </is>
      </c>
      <c r="D64" s="12">
        <f>""</f>
      </c>
      <c r="E64" s="12">
        <f>""</f>
      </c>
      <c r="F64" s="12">
        <f>""</f>
      </c>
      <c r="G64" s="12">
        <f>""</f>
      </c>
      <c r="H64" s="12">
        <f>""</f>
      </c>
      <c r="I64" s="12">
        <f>""</f>
      </c>
      <c r="J64" s="12">
        <f>""</f>
      </c>
    </row>
    <row r="65">
      <c r="A65" s="0" t="inlineStr">
        <is>
          <t xml:space="preserve">Commissions</t>
        </is>
      </c>
      <c r="B65" s="0" t="inlineStr">
        <is>
          <t xml:space="preserve">United States</t>
        </is>
      </c>
      <c r="C65" s="0" t="inlineStr">
        <is>
          <t xml:space="preserve">Engineering</t>
        </is>
      </c>
      <c r="D65" s="12">
        <f>""</f>
      </c>
      <c r="E65" s="12">
        <f>""</f>
      </c>
      <c r="F65" s="12">
        <f>""</f>
      </c>
      <c r="G65" s="12">
        <f>""</f>
      </c>
      <c r="H65" s="12">
        <f>""</f>
      </c>
      <c r="I65" s="12">
        <f>""</f>
      </c>
      <c r="J65" s="12">
        <f>""</f>
      </c>
    </row>
    <row r="66">
      <c r="A66" s="0" t="inlineStr">
        <is>
          <t xml:space="preserve">Commissions</t>
        </is>
      </c>
      <c r="B66" s="0" t="inlineStr">
        <is>
          <t xml:space="preserve">United States</t>
        </is>
      </c>
      <c r="C66" s="0" t="inlineStr">
        <is>
          <t xml:space="preserve">Customer success</t>
        </is>
      </c>
      <c r="D66" s="12">
        <f>""</f>
      </c>
      <c r="E66" s="12">
        <f>""</f>
      </c>
      <c r="F66" s="12">
        <f>""</f>
      </c>
      <c r="G66" s="12">
        <f>""</f>
      </c>
      <c r="H66" s="12">
        <f>""</f>
      </c>
      <c r="I66" s="12">
        <f>""</f>
      </c>
      <c r="J66" s="12">
        <f>""</f>
      </c>
    </row>
    <row r="67">
      <c r="A67" s="0" t="inlineStr">
        <is>
          <t xml:space="preserve">Commissions</t>
        </is>
      </c>
      <c r="B67" s="0" t="inlineStr">
        <is>
          <t xml:space="preserve">United States</t>
        </is>
      </c>
      <c r="C67" s="0" t="inlineStr">
        <is>
          <t xml:space="preserve">G&amp;A</t>
        </is>
      </c>
      <c r="D67" s="12">
        <f>""</f>
      </c>
      <c r="E67" s="12">
        <f>""</f>
      </c>
      <c r="F67" s="12">
        <f>""</f>
      </c>
      <c r="G67" s="12">
        <f>""</f>
      </c>
      <c r="H67" s="12">
        <f>""</f>
      </c>
      <c r="I67" s="12">
        <f>""</f>
      </c>
      <c r="J67" s="12">
        <f>""</f>
      </c>
    </row>
    <row r="68">
      <c r="A68" s="0" t="inlineStr">
        <is>
          <t xml:space="preserve">Commissions</t>
        </is>
      </c>
      <c r="B68" s="0" t="inlineStr">
        <is>
          <t xml:space="preserve">United Kingdom</t>
        </is>
      </c>
      <c r="C68" s="0" t="inlineStr">
        <is>
          <t xml:space="preserve">Company (revenue and cost of revenue)</t>
        </is>
      </c>
      <c r="D68" s="12">
        <f>""</f>
      </c>
      <c r="E68" s="12">
        <f>""</f>
      </c>
      <c r="F68" s="12">
        <f>""</f>
      </c>
      <c r="G68" s="12">
        <f>""</f>
      </c>
      <c r="H68" s="12">
        <f>""</f>
      </c>
      <c r="I68" s="12">
        <f>""</f>
      </c>
      <c r="J68" s="12">
        <f>""</f>
      </c>
    </row>
    <row r="69">
      <c r="A69" s="0" t="inlineStr">
        <is>
          <t xml:space="preserve">Commissions</t>
        </is>
      </c>
      <c r="B69" s="0" t="inlineStr">
        <is>
          <t xml:space="preserve">United Kingdom</t>
        </is>
      </c>
      <c r="C69" s="0" t="inlineStr">
        <is>
          <t xml:space="preserve">Sales</t>
        </is>
      </c>
      <c r="D69" s="12">
        <f>""</f>
      </c>
      <c r="E69" s="12">
        <f>""</f>
      </c>
      <c r="F69" s="12">
        <f>""</f>
      </c>
      <c r="G69" s="12">
        <f>""</f>
      </c>
      <c r="H69" s="12">
        <f>""</f>
      </c>
      <c r="I69" s="12">
        <f>""</f>
      </c>
      <c r="J69" s="12">
        <f>""</f>
      </c>
    </row>
    <row r="70">
      <c r="A70" s="0" t="inlineStr">
        <is>
          <t xml:space="preserve">Commissions</t>
        </is>
      </c>
      <c r="B70" s="0" t="inlineStr">
        <is>
          <t xml:space="preserve">United Kingdom</t>
        </is>
      </c>
      <c r="C70" s="0" t="inlineStr">
        <is>
          <t xml:space="preserve">Marketing</t>
        </is>
      </c>
      <c r="D70" s="12">
        <f>""</f>
      </c>
      <c r="E70" s="12">
        <f>""</f>
      </c>
      <c r="F70" s="12">
        <f>""</f>
      </c>
      <c r="G70" s="12">
        <f>""</f>
      </c>
      <c r="H70" s="12">
        <f>""</f>
      </c>
      <c r="I70" s="12">
        <f>""</f>
      </c>
      <c r="J70" s="12">
        <f>""</f>
      </c>
    </row>
    <row r="71">
      <c r="A71" s="0" t="inlineStr">
        <is>
          <t xml:space="preserve">Commissions</t>
        </is>
      </c>
      <c r="B71" s="0" t="inlineStr">
        <is>
          <t xml:space="preserve">United Kingdom</t>
        </is>
      </c>
      <c r="C71" s="0" t="inlineStr">
        <is>
          <t xml:space="preserve">Engineering</t>
        </is>
      </c>
      <c r="D71" s="12">
        <f>""</f>
      </c>
      <c r="E71" s="12">
        <f>""</f>
      </c>
      <c r="F71" s="12">
        <f>""</f>
      </c>
      <c r="G71" s="12">
        <f>""</f>
      </c>
      <c r="H71" s="12">
        <f>""</f>
      </c>
      <c r="I71" s="12">
        <f>""</f>
      </c>
      <c r="J71" s="12">
        <f>""</f>
      </c>
    </row>
    <row r="72">
      <c r="A72" s="0" t="inlineStr">
        <is>
          <t xml:space="preserve">Commissions</t>
        </is>
      </c>
      <c r="B72" s="0" t="inlineStr">
        <is>
          <t xml:space="preserve">United Kingdom</t>
        </is>
      </c>
      <c r="C72" s="0" t="inlineStr">
        <is>
          <t xml:space="preserve">Customer success</t>
        </is>
      </c>
      <c r="D72" s="12">
        <f>""</f>
      </c>
      <c r="E72" s="12">
        <f>""</f>
      </c>
      <c r="F72" s="12">
        <f>""</f>
      </c>
      <c r="G72" s="12">
        <f>""</f>
      </c>
      <c r="H72" s="12">
        <f>""</f>
      </c>
      <c r="I72" s="12">
        <f>""</f>
      </c>
      <c r="J72" s="12">
        <f>""</f>
      </c>
    </row>
    <row r="73">
      <c r="A73" s="0" t="inlineStr">
        <is>
          <t xml:space="preserve">Commissions</t>
        </is>
      </c>
      <c r="B73" s="0" t="inlineStr">
        <is>
          <t xml:space="preserve">United Kingdom</t>
        </is>
      </c>
      <c r="C73" s="0" t="inlineStr">
        <is>
          <t xml:space="preserve">G&amp;A</t>
        </is>
      </c>
      <c r="D73" s="12">
        <f>""</f>
      </c>
      <c r="E73" s="12">
        <f>""</f>
      </c>
      <c r="F73" s="12">
        <f>""</f>
      </c>
      <c r="G73" s="12">
        <f>""</f>
      </c>
      <c r="H73" s="12">
        <f>""</f>
      </c>
      <c r="I73" s="12">
        <f>""</f>
      </c>
      <c r="J73" s="12">
        <f>""</f>
      </c>
    </row>
    <row r="74">
      <c r="A74" s="0" t="inlineStr">
        <is>
          <t xml:space="preserve">Contractors</t>
        </is>
      </c>
      <c r="B74" s="0" t="inlineStr">
        <is>
          <t xml:space="preserve">United States</t>
        </is>
      </c>
      <c r="C74" s="0" t="inlineStr">
        <is>
          <t xml:space="preserve">Company (revenue and cost of revenue)</t>
        </is>
      </c>
      <c r="D74" s="12">
        <f>""</f>
      </c>
      <c r="E74" s="12">
        <f>""</f>
      </c>
      <c r="F74" s="12">
        <f>""</f>
      </c>
      <c r="G74" s="12">
        <f>""</f>
      </c>
      <c r="H74" s="12">
        <f>""</f>
      </c>
      <c r="I74" s="12">
        <f>""</f>
      </c>
      <c r="J74" s="12">
        <f>""</f>
      </c>
    </row>
    <row r="75">
      <c r="A75" s="0" t="inlineStr">
        <is>
          <t xml:space="preserve">Contractors</t>
        </is>
      </c>
      <c r="B75" s="0" t="inlineStr">
        <is>
          <t xml:space="preserve">United States</t>
        </is>
      </c>
      <c r="C75" s="0" t="inlineStr">
        <is>
          <t xml:space="preserve">Sales</t>
        </is>
      </c>
      <c r="D75" s="12">
        <f>""</f>
      </c>
      <c r="E75" s="12">
        <f>""</f>
      </c>
      <c r="F75" s="12">
        <f>""</f>
      </c>
      <c r="G75" s="12">
        <f>""</f>
      </c>
      <c r="H75" s="12">
        <f>""</f>
      </c>
      <c r="I75" s="12">
        <f>""</f>
      </c>
      <c r="J75" s="12">
        <f>""</f>
      </c>
    </row>
    <row r="76">
      <c r="A76" s="0" t="inlineStr">
        <is>
          <t xml:space="preserve">Contractors</t>
        </is>
      </c>
      <c r="B76" s="0" t="inlineStr">
        <is>
          <t xml:space="preserve">United States</t>
        </is>
      </c>
      <c r="C76" s="0" t="inlineStr">
        <is>
          <t xml:space="preserve">Marketing</t>
        </is>
      </c>
      <c r="D76" s="12">
        <f>""</f>
      </c>
      <c r="E76" s="12">
        <f>""</f>
      </c>
      <c r="F76" s="12">
        <f>""</f>
      </c>
      <c r="G76" s="12">
        <f>""</f>
      </c>
      <c r="H76" s="12">
        <f>""</f>
      </c>
      <c r="I76" s="12">
        <f>""</f>
      </c>
      <c r="J76" s="12">
        <f>""</f>
      </c>
    </row>
    <row r="77">
      <c r="A77" s="0" t="inlineStr">
        <is>
          <t xml:space="preserve">Contractors</t>
        </is>
      </c>
      <c r="B77" s="0" t="inlineStr">
        <is>
          <t xml:space="preserve">United States</t>
        </is>
      </c>
      <c r="C77" s="0" t="inlineStr">
        <is>
          <t xml:space="preserve">Engineering</t>
        </is>
      </c>
      <c r="D77" s="12">
        <f>""</f>
      </c>
      <c r="E77" s="12">
        <f>""</f>
      </c>
      <c r="F77" s="12">
        <f>""</f>
      </c>
      <c r="G77" s="12">
        <f>""</f>
      </c>
      <c r="H77" s="12">
        <f>""</f>
      </c>
      <c r="I77" s="12">
        <f>""</f>
      </c>
      <c r="J77" s="12">
        <f>""</f>
      </c>
    </row>
    <row r="78">
      <c r="A78" s="0" t="inlineStr">
        <is>
          <t xml:space="preserve">Contractors</t>
        </is>
      </c>
      <c r="B78" s="0" t="inlineStr">
        <is>
          <t xml:space="preserve">United States</t>
        </is>
      </c>
      <c r="C78" s="0" t="inlineStr">
        <is>
          <t xml:space="preserve">Customer success</t>
        </is>
      </c>
      <c r="D78" s="12">
        <f>""</f>
      </c>
      <c r="E78" s="12">
        <f>""</f>
      </c>
      <c r="F78" s="12">
        <f>""</f>
      </c>
      <c r="G78" s="12">
        <f>""</f>
      </c>
      <c r="H78" s="12">
        <f>""</f>
      </c>
      <c r="I78" s="12">
        <f>""</f>
      </c>
      <c r="J78" s="12">
        <f>""</f>
      </c>
    </row>
    <row r="79">
      <c r="A79" s="0" t="inlineStr">
        <is>
          <t xml:space="preserve">Contractors</t>
        </is>
      </c>
      <c r="B79" s="0" t="inlineStr">
        <is>
          <t xml:space="preserve">United States</t>
        </is>
      </c>
      <c r="C79" s="0" t="inlineStr">
        <is>
          <t xml:space="preserve">G&amp;A</t>
        </is>
      </c>
      <c r="D79" s="12">
        <f>""</f>
      </c>
      <c r="E79" s="12">
        <f>""</f>
      </c>
      <c r="F79" s="12">
        <f>""</f>
      </c>
      <c r="G79" s="12">
        <f>""</f>
      </c>
      <c r="H79" s="12">
        <f>""</f>
      </c>
      <c r="I79" s="12">
        <f>""</f>
      </c>
      <c r="J79" s="12">
        <f>""</f>
      </c>
    </row>
    <row r="80">
      <c r="A80" s="0" t="inlineStr">
        <is>
          <t xml:space="preserve">Contractors</t>
        </is>
      </c>
      <c r="B80" s="0" t="inlineStr">
        <is>
          <t xml:space="preserve">United Kingdom</t>
        </is>
      </c>
      <c r="C80" s="0" t="inlineStr">
        <is>
          <t xml:space="preserve">Company (revenue and cost of revenue)</t>
        </is>
      </c>
      <c r="D80" s="12">
        <f>""</f>
      </c>
      <c r="E80" s="12">
        <f>""</f>
      </c>
      <c r="F80" s="12">
        <f>""</f>
      </c>
      <c r="G80" s="12">
        <f>""</f>
      </c>
      <c r="H80" s="12">
        <f>""</f>
      </c>
      <c r="I80" s="12">
        <f>""</f>
      </c>
      <c r="J80" s="12">
        <f>""</f>
      </c>
    </row>
    <row r="81">
      <c r="A81" s="0" t="inlineStr">
        <is>
          <t xml:space="preserve">Contractors</t>
        </is>
      </c>
      <c r="B81" s="0" t="inlineStr">
        <is>
          <t xml:space="preserve">United Kingdom</t>
        </is>
      </c>
      <c r="C81" s="0" t="inlineStr">
        <is>
          <t xml:space="preserve">Sales</t>
        </is>
      </c>
      <c r="D81" s="12">
        <f>""</f>
      </c>
      <c r="E81" s="12">
        <f>""</f>
      </c>
      <c r="F81" s="12">
        <f>""</f>
      </c>
      <c r="G81" s="12">
        <f>""</f>
      </c>
      <c r="H81" s="12">
        <f>""</f>
      </c>
      <c r="I81" s="12">
        <f>""</f>
      </c>
      <c r="J81" s="12">
        <f>""</f>
      </c>
    </row>
    <row r="82">
      <c r="A82" s="0" t="inlineStr">
        <is>
          <t xml:space="preserve">Contractors</t>
        </is>
      </c>
      <c r="B82" s="0" t="inlineStr">
        <is>
          <t xml:space="preserve">United Kingdom</t>
        </is>
      </c>
      <c r="C82" s="0" t="inlineStr">
        <is>
          <t xml:space="preserve">Marketing</t>
        </is>
      </c>
      <c r="D82" s="12">
        <f>""</f>
      </c>
      <c r="E82" s="12">
        <f>""</f>
      </c>
      <c r="F82" s="12">
        <f>""</f>
      </c>
      <c r="G82" s="12">
        <f>""</f>
      </c>
      <c r="H82" s="12">
        <f>""</f>
      </c>
      <c r="I82" s="12">
        <f>""</f>
      </c>
      <c r="J82" s="12">
        <f>""</f>
      </c>
    </row>
    <row r="83">
      <c r="A83" s="0" t="inlineStr">
        <is>
          <t xml:space="preserve">Contractors</t>
        </is>
      </c>
      <c r="B83" s="0" t="inlineStr">
        <is>
          <t xml:space="preserve">United Kingdom</t>
        </is>
      </c>
      <c r="C83" s="0" t="inlineStr">
        <is>
          <t xml:space="preserve">Engineering</t>
        </is>
      </c>
      <c r="D83" s="12">
        <f>""</f>
      </c>
      <c r="E83" s="12">
        <f>""</f>
      </c>
      <c r="F83" s="12">
        <f>""</f>
      </c>
      <c r="G83" s="12">
        <f>""</f>
      </c>
      <c r="H83" s="12">
        <f>""</f>
      </c>
      <c r="I83" s="12">
        <f>""</f>
      </c>
      <c r="J83" s="12">
        <f>""</f>
      </c>
    </row>
    <row r="84">
      <c r="A84" s="0" t="inlineStr">
        <is>
          <t xml:space="preserve">Contractors</t>
        </is>
      </c>
      <c r="B84" s="0" t="inlineStr">
        <is>
          <t xml:space="preserve">United Kingdom</t>
        </is>
      </c>
      <c r="C84" s="0" t="inlineStr">
        <is>
          <t xml:space="preserve">Customer success</t>
        </is>
      </c>
      <c r="D84" s="12">
        <f>""</f>
      </c>
      <c r="E84" s="12">
        <f>""</f>
      </c>
      <c r="F84" s="12">
        <f>""</f>
      </c>
      <c r="G84" s="12">
        <f>""</f>
      </c>
      <c r="H84" s="12">
        <f>""</f>
      </c>
      <c r="I84" s="12">
        <f>""</f>
      </c>
      <c r="J84" s="12">
        <f>""</f>
      </c>
    </row>
    <row r="85">
      <c r="A85" s="0" t="inlineStr">
        <is>
          <t xml:space="preserve">Contractors</t>
        </is>
      </c>
      <c r="B85" s="0" t="inlineStr">
        <is>
          <t xml:space="preserve">United Kingdom</t>
        </is>
      </c>
      <c r="C85" s="0" t="inlineStr">
        <is>
          <t xml:space="preserve">G&amp;A</t>
        </is>
      </c>
      <c r="D85" s="12">
        <f>""</f>
      </c>
      <c r="E85" s="12">
        <f>""</f>
      </c>
      <c r="F85" s="12">
        <f>""</f>
      </c>
      <c r="G85" s="12">
        <f>""</f>
      </c>
      <c r="H85" s="12">
        <f>""</f>
      </c>
      <c r="I85" s="12">
        <f>""</f>
      </c>
      <c r="J85" s="12">
        <f>""</f>
      </c>
    </row>
    <row r="86">
      <c r="A86" s="0" t="inlineStr">
        <is>
          <t xml:space="preserve">Cloud and infrastructure</t>
        </is>
      </c>
      <c r="B86" s="0" t="inlineStr">
        <is>
          <t xml:space="preserve">United States</t>
        </is>
      </c>
      <c r="C86" s="0" t="inlineStr">
        <is>
          <t xml:space="preserve">Company (revenue and cost of revenue)</t>
        </is>
      </c>
      <c r="D86" s="12">
        <f>""</f>
      </c>
      <c r="E86" s="12">
        <f>""</f>
      </c>
      <c r="F86" s="12">
        <f>""</f>
      </c>
      <c r="G86" s="12">
        <f>""</f>
      </c>
      <c r="H86" s="12">
        <f>""</f>
      </c>
      <c r="I86" s="12">
        <f>""</f>
      </c>
      <c r="J86" s="12">
        <f>""</f>
      </c>
    </row>
    <row r="87">
      <c r="A87" s="0" t="inlineStr">
        <is>
          <t xml:space="preserve">Cloud and infrastructure</t>
        </is>
      </c>
      <c r="B87" s="0" t="inlineStr">
        <is>
          <t xml:space="preserve">United States</t>
        </is>
      </c>
      <c r="C87" s="0" t="inlineStr">
        <is>
          <t xml:space="preserve">Sales</t>
        </is>
      </c>
      <c r="D87" s="12">
        <f>""</f>
      </c>
      <c r="E87" s="12">
        <f>""</f>
      </c>
      <c r="F87" s="12">
        <f>""</f>
      </c>
      <c r="G87" s="12">
        <f>""</f>
      </c>
      <c r="H87" s="12">
        <f>""</f>
      </c>
      <c r="I87" s="12">
        <f>""</f>
      </c>
      <c r="J87" s="12">
        <f>""</f>
      </c>
    </row>
    <row r="88">
      <c r="A88" s="0" t="inlineStr">
        <is>
          <t xml:space="preserve">Cloud and infrastructure</t>
        </is>
      </c>
      <c r="B88" s="0" t="inlineStr">
        <is>
          <t xml:space="preserve">United States</t>
        </is>
      </c>
      <c r="C88" s="0" t="inlineStr">
        <is>
          <t xml:space="preserve">Marketing</t>
        </is>
      </c>
      <c r="D88" s="12">
        <f>""</f>
      </c>
      <c r="E88" s="12">
        <f>""</f>
      </c>
      <c r="F88" s="12">
        <f>""</f>
      </c>
      <c r="G88" s="12">
        <f>""</f>
      </c>
      <c r="H88" s="12">
        <f>""</f>
      </c>
      <c r="I88" s="12">
        <f>""</f>
      </c>
      <c r="J88" s="12">
        <f>""</f>
      </c>
    </row>
    <row r="89">
      <c r="A89" s="0" t="inlineStr">
        <is>
          <t xml:space="preserve">Cloud and infrastructure</t>
        </is>
      </c>
      <c r="B89" s="0" t="inlineStr">
        <is>
          <t xml:space="preserve">United States</t>
        </is>
      </c>
      <c r="C89" s="0" t="inlineStr">
        <is>
          <t xml:space="preserve">Engineering</t>
        </is>
      </c>
      <c r="D89" s="12">
        <f>""</f>
      </c>
      <c r="E89" s="12">
        <f>""</f>
      </c>
      <c r="F89" s="12">
        <f>""</f>
      </c>
      <c r="G89" s="12">
        <f>""</f>
      </c>
      <c r="H89" s="12">
        <f>""</f>
      </c>
      <c r="I89" s="12">
        <f>""</f>
      </c>
      <c r="J89" s="12">
        <f>""</f>
      </c>
    </row>
    <row r="90">
      <c r="A90" s="0" t="inlineStr">
        <is>
          <t xml:space="preserve">Cloud and infrastructure</t>
        </is>
      </c>
      <c r="B90" s="0" t="inlineStr">
        <is>
          <t xml:space="preserve">United States</t>
        </is>
      </c>
      <c r="C90" s="0" t="inlineStr">
        <is>
          <t xml:space="preserve">Customer success</t>
        </is>
      </c>
      <c r="D90" s="12">
        <f>""</f>
      </c>
      <c r="E90" s="12">
        <f>""</f>
      </c>
      <c r="F90" s="12">
        <f>""</f>
      </c>
      <c r="G90" s="12">
        <f>""</f>
      </c>
      <c r="H90" s="12">
        <f>""</f>
      </c>
      <c r="I90" s="12">
        <f>""</f>
      </c>
      <c r="J90" s="12">
        <f>""</f>
      </c>
    </row>
    <row r="91">
      <c r="A91" s="0" t="inlineStr">
        <is>
          <t xml:space="preserve">Cloud and infrastructure</t>
        </is>
      </c>
      <c r="B91" s="0" t="inlineStr">
        <is>
          <t xml:space="preserve">United States</t>
        </is>
      </c>
      <c r="C91" s="0" t="inlineStr">
        <is>
          <t xml:space="preserve">G&amp;A</t>
        </is>
      </c>
      <c r="D91" s="12">
        <f>""</f>
      </c>
      <c r="E91" s="12">
        <f>""</f>
      </c>
      <c r="F91" s="12">
        <f>""</f>
      </c>
      <c r="G91" s="12">
        <f>""</f>
      </c>
      <c r="H91" s="12">
        <f>""</f>
      </c>
      <c r="I91" s="12">
        <f>""</f>
      </c>
      <c r="J91" s="12">
        <f>""</f>
      </c>
    </row>
    <row r="92">
      <c r="A92" s="0" t="inlineStr">
        <is>
          <t xml:space="preserve">Cloud and infrastructure</t>
        </is>
      </c>
      <c r="B92" s="0" t="inlineStr">
        <is>
          <t xml:space="preserve">United Kingdom</t>
        </is>
      </c>
      <c r="C92" s="0" t="inlineStr">
        <is>
          <t xml:space="preserve">Company (revenue and cost of revenue)</t>
        </is>
      </c>
      <c r="D92" s="12">
        <f>""</f>
      </c>
      <c r="E92" s="12">
        <f>""</f>
      </c>
      <c r="F92" s="12">
        <f>""</f>
      </c>
      <c r="G92" s="12">
        <f>""</f>
      </c>
      <c r="H92" s="12">
        <f>""</f>
      </c>
      <c r="I92" s="12">
        <f>""</f>
      </c>
      <c r="J92" s="12">
        <f>""</f>
      </c>
    </row>
    <row r="93">
      <c r="A93" s="0" t="inlineStr">
        <is>
          <t xml:space="preserve">Cloud and infrastructure</t>
        </is>
      </c>
      <c r="B93" s="0" t="inlineStr">
        <is>
          <t xml:space="preserve">United Kingdom</t>
        </is>
      </c>
      <c r="C93" s="0" t="inlineStr">
        <is>
          <t xml:space="preserve">Sales</t>
        </is>
      </c>
      <c r="D93" s="12">
        <f>""</f>
      </c>
      <c r="E93" s="12">
        <f>""</f>
      </c>
      <c r="F93" s="12">
        <f>""</f>
      </c>
      <c r="G93" s="12">
        <f>""</f>
      </c>
      <c r="H93" s="12">
        <f>""</f>
      </c>
      <c r="I93" s="12">
        <f>""</f>
      </c>
      <c r="J93" s="12">
        <f>""</f>
      </c>
    </row>
    <row r="94">
      <c r="A94" s="0" t="inlineStr">
        <is>
          <t xml:space="preserve">Cloud and infrastructure</t>
        </is>
      </c>
      <c r="B94" s="0" t="inlineStr">
        <is>
          <t xml:space="preserve">United Kingdom</t>
        </is>
      </c>
      <c r="C94" s="0" t="inlineStr">
        <is>
          <t xml:space="preserve">Marketing</t>
        </is>
      </c>
      <c r="D94" s="12">
        <f>""</f>
      </c>
      <c r="E94" s="12">
        <f>""</f>
      </c>
      <c r="F94" s="12">
        <f>""</f>
      </c>
      <c r="G94" s="12">
        <f>""</f>
      </c>
      <c r="H94" s="12">
        <f>""</f>
      </c>
      <c r="I94" s="12">
        <f>""</f>
      </c>
      <c r="J94" s="12">
        <f>""</f>
      </c>
    </row>
    <row r="95">
      <c r="A95" s="0" t="inlineStr">
        <is>
          <t xml:space="preserve">Cloud and infrastructure</t>
        </is>
      </c>
      <c r="B95" s="0" t="inlineStr">
        <is>
          <t xml:space="preserve">United Kingdom</t>
        </is>
      </c>
      <c r="C95" s="0" t="inlineStr">
        <is>
          <t xml:space="preserve">Engineering</t>
        </is>
      </c>
      <c r="D95" s="12">
        <f>""</f>
      </c>
      <c r="E95" s="12">
        <f>""</f>
      </c>
      <c r="F95" s="12">
        <f>""</f>
      </c>
      <c r="G95" s="12">
        <f>""</f>
      </c>
      <c r="H95" s="12">
        <f>""</f>
      </c>
      <c r="I95" s="12">
        <f>""</f>
      </c>
      <c r="J95" s="12">
        <f>""</f>
      </c>
    </row>
    <row r="96">
      <c r="A96" s="0" t="inlineStr">
        <is>
          <t xml:space="preserve">Cloud and infrastructure</t>
        </is>
      </c>
      <c r="B96" s="0" t="inlineStr">
        <is>
          <t xml:space="preserve">United Kingdom</t>
        </is>
      </c>
      <c r="C96" s="0" t="inlineStr">
        <is>
          <t xml:space="preserve">Customer success</t>
        </is>
      </c>
      <c r="D96" s="12">
        <f>""</f>
      </c>
      <c r="E96" s="12">
        <f>""</f>
      </c>
      <c r="F96" s="12">
        <f>""</f>
      </c>
      <c r="G96" s="12">
        <f>""</f>
      </c>
      <c r="H96" s="12">
        <f>""</f>
      </c>
      <c r="I96" s="12">
        <f>""</f>
      </c>
      <c r="J96" s="12">
        <f>""</f>
      </c>
    </row>
    <row r="97">
      <c r="A97" s="0" t="inlineStr">
        <is>
          <t xml:space="preserve">Cloud and infrastructure</t>
        </is>
      </c>
      <c r="B97" s="0" t="inlineStr">
        <is>
          <t xml:space="preserve">United Kingdom</t>
        </is>
      </c>
      <c r="C97" s="0" t="inlineStr">
        <is>
          <t xml:space="preserve">G&amp;A</t>
        </is>
      </c>
      <c r="D97" s="12">
        <f>""</f>
      </c>
      <c r="E97" s="12">
        <f>""</f>
      </c>
      <c r="F97" s="12">
        <f>""</f>
      </c>
      <c r="G97" s="12">
        <f>""</f>
      </c>
      <c r="H97" s="12">
        <f>""</f>
      </c>
      <c r="I97" s="12">
        <f>""</f>
      </c>
      <c r="J97" s="12">
        <f>""</f>
      </c>
    </row>
    <row r="98">
      <c r="A98" s="0" t="inlineStr">
        <is>
          <t xml:space="preserve">Marketing programs</t>
        </is>
      </c>
      <c r="B98" s="0" t="inlineStr">
        <is>
          <t xml:space="preserve">United States</t>
        </is>
      </c>
      <c r="C98" s="0" t="inlineStr">
        <is>
          <t xml:space="preserve">Company (revenue and cost of revenue)</t>
        </is>
      </c>
      <c r="D98" s="12">
        <f>""</f>
      </c>
      <c r="E98" s="12">
        <f>""</f>
      </c>
      <c r="F98" s="12">
        <f>""</f>
      </c>
      <c r="G98" s="12">
        <f>""</f>
      </c>
      <c r="H98" s="12">
        <f>""</f>
      </c>
      <c r="I98" s="12">
        <f>""</f>
      </c>
      <c r="J98" s="12">
        <f>""</f>
      </c>
    </row>
    <row r="99">
      <c r="A99" s="0" t="inlineStr">
        <is>
          <t xml:space="preserve">Marketing programs</t>
        </is>
      </c>
      <c r="B99" s="0" t="inlineStr">
        <is>
          <t xml:space="preserve">United States</t>
        </is>
      </c>
      <c r="C99" s="0" t="inlineStr">
        <is>
          <t xml:space="preserve">Sales</t>
        </is>
      </c>
      <c r="D99" s="12">
        <f>""</f>
      </c>
      <c r="E99" s="12">
        <f>""</f>
      </c>
      <c r="F99" s="12">
        <f>""</f>
      </c>
      <c r="G99" s="12">
        <f>""</f>
      </c>
      <c r="H99" s="12">
        <f>""</f>
      </c>
      <c r="I99" s="12">
        <f>""</f>
      </c>
      <c r="J99" s="12">
        <f>""</f>
      </c>
    </row>
    <row r="100">
      <c r="A100" s="0" t="inlineStr">
        <is>
          <t xml:space="preserve">Marketing programs</t>
        </is>
      </c>
      <c r="B100" s="0" t="inlineStr">
        <is>
          <t xml:space="preserve">United States</t>
        </is>
      </c>
      <c r="C100" s="0" t="inlineStr">
        <is>
          <t xml:space="preserve">Marketing</t>
        </is>
      </c>
      <c r="D100" s="12">
        <f>""</f>
      </c>
      <c r="E100" s="12">
        <f>""</f>
      </c>
      <c r="F100" s="12">
        <f>""</f>
      </c>
      <c r="G100" s="12">
        <f>""</f>
      </c>
      <c r="H100" s="12">
        <f>""</f>
      </c>
      <c r="I100" s="12">
        <f>""</f>
      </c>
      <c r="J100" s="12">
        <f>""</f>
      </c>
    </row>
    <row r="101">
      <c r="A101" s="0" t="inlineStr">
        <is>
          <t xml:space="preserve">Marketing programs</t>
        </is>
      </c>
      <c r="B101" s="0" t="inlineStr">
        <is>
          <t xml:space="preserve">United States</t>
        </is>
      </c>
      <c r="C101" s="0" t="inlineStr">
        <is>
          <t xml:space="preserve">Engineering</t>
        </is>
      </c>
      <c r="D101" s="12">
        <f>""</f>
      </c>
      <c r="E101" s="12">
        <f>""</f>
      </c>
      <c r="F101" s="12">
        <f>""</f>
      </c>
      <c r="G101" s="12">
        <f>""</f>
      </c>
      <c r="H101" s="12">
        <f>""</f>
      </c>
      <c r="I101" s="12">
        <f>""</f>
      </c>
      <c r="J101" s="12">
        <f>""</f>
      </c>
    </row>
    <row r="102">
      <c r="A102" s="0" t="inlineStr">
        <is>
          <t xml:space="preserve">Marketing programs</t>
        </is>
      </c>
      <c r="B102" s="0" t="inlineStr">
        <is>
          <t xml:space="preserve">United States</t>
        </is>
      </c>
      <c r="C102" s="0" t="inlineStr">
        <is>
          <t xml:space="preserve">Customer success</t>
        </is>
      </c>
      <c r="D102" s="12">
        <f>""</f>
      </c>
      <c r="E102" s="12">
        <f>""</f>
      </c>
      <c r="F102" s="12">
        <f>""</f>
      </c>
      <c r="G102" s="12">
        <f>""</f>
      </c>
      <c r="H102" s="12">
        <f>""</f>
      </c>
      <c r="I102" s="12">
        <f>""</f>
      </c>
      <c r="J102" s="12">
        <f>""</f>
      </c>
    </row>
    <row r="103">
      <c r="A103" s="0" t="inlineStr">
        <is>
          <t xml:space="preserve">Marketing programs</t>
        </is>
      </c>
      <c r="B103" s="0" t="inlineStr">
        <is>
          <t xml:space="preserve">United States</t>
        </is>
      </c>
      <c r="C103" s="0" t="inlineStr">
        <is>
          <t xml:space="preserve">G&amp;A</t>
        </is>
      </c>
      <c r="D103" s="12">
        <f>""</f>
      </c>
      <c r="E103" s="12">
        <f>""</f>
      </c>
      <c r="F103" s="12">
        <f>""</f>
      </c>
      <c r="G103" s="12">
        <f>""</f>
      </c>
      <c r="H103" s="12">
        <f>""</f>
      </c>
      <c r="I103" s="12">
        <f>""</f>
      </c>
      <c r="J103" s="12">
        <f>""</f>
      </c>
    </row>
    <row r="104">
      <c r="A104" s="0" t="inlineStr">
        <is>
          <t xml:space="preserve">Marketing programs</t>
        </is>
      </c>
      <c r="B104" s="0" t="inlineStr">
        <is>
          <t xml:space="preserve">United Kingdom</t>
        </is>
      </c>
      <c r="C104" s="0" t="inlineStr">
        <is>
          <t xml:space="preserve">Company (revenue and cost of revenue)</t>
        </is>
      </c>
      <c r="D104" s="12">
        <f>""</f>
      </c>
      <c r="E104" s="12">
        <f>""</f>
      </c>
      <c r="F104" s="12">
        <f>""</f>
      </c>
      <c r="G104" s="12">
        <f>""</f>
      </c>
      <c r="H104" s="12">
        <f>""</f>
      </c>
      <c r="I104" s="12">
        <f>""</f>
      </c>
      <c r="J104" s="12">
        <f>""</f>
      </c>
    </row>
    <row r="105">
      <c r="A105" s="0" t="inlineStr">
        <is>
          <t xml:space="preserve">Marketing programs</t>
        </is>
      </c>
      <c r="B105" s="0" t="inlineStr">
        <is>
          <t xml:space="preserve">United Kingdom</t>
        </is>
      </c>
      <c r="C105" s="0" t="inlineStr">
        <is>
          <t xml:space="preserve">Sales</t>
        </is>
      </c>
      <c r="D105" s="12">
        <f>""</f>
      </c>
      <c r="E105" s="12">
        <f>""</f>
      </c>
      <c r="F105" s="12">
        <f>""</f>
      </c>
      <c r="G105" s="12">
        <f>""</f>
      </c>
      <c r="H105" s="12">
        <f>""</f>
      </c>
      <c r="I105" s="12">
        <f>""</f>
      </c>
      <c r="J105" s="12">
        <f>""</f>
      </c>
    </row>
    <row r="106">
      <c r="A106" s="0" t="inlineStr">
        <is>
          <t xml:space="preserve">Marketing programs</t>
        </is>
      </c>
      <c r="B106" s="0" t="inlineStr">
        <is>
          <t xml:space="preserve">United Kingdom</t>
        </is>
      </c>
      <c r="C106" s="0" t="inlineStr">
        <is>
          <t xml:space="preserve">Marketing</t>
        </is>
      </c>
      <c r="D106" s="12">
        <f>""</f>
      </c>
      <c r="E106" s="12">
        <f>""</f>
      </c>
      <c r="F106" s="12">
        <f>""</f>
      </c>
      <c r="G106" s="12">
        <f>""</f>
      </c>
      <c r="H106" s="12">
        <f>""</f>
      </c>
      <c r="I106" s="12">
        <f>""</f>
      </c>
      <c r="J106" s="12">
        <f>""</f>
      </c>
    </row>
    <row r="107">
      <c r="A107" s="0" t="inlineStr">
        <is>
          <t xml:space="preserve">Marketing programs</t>
        </is>
      </c>
      <c r="B107" s="0" t="inlineStr">
        <is>
          <t xml:space="preserve">United Kingdom</t>
        </is>
      </c>
      <c r="C107" s="0" t="inlineStr">
        <is>
          <t xml:space="preserve">Engineering</t>
        </is>
      </c>
      <c r="D107" s="12">
        <f>""</f>
      </c>
      <c r="E107" s="12">
        <f>""</f>
      </c>
      <c r="F107" s="12">
        <f>""</f>
      </c>
      <c r="G107" s="12">
        <f>""</f>
      </c>
      <c r="H107" s="12">
        <f>""</f>
      </c>
      <c r="I107" s="12">
        <f>""</f>
      </c>
      <c r="J107" s="12">
        <f>""</f>
      </c>
    </row>
    <row r="108">
      <c r="A108" s="0" t="inlineStr">
        <is>
          <t xml:space="preserve">Marketing programs</t>
        </is>
      </c>
      <c r="B108" s="0" t="inlineStr">
        <is>
          <t xml:space="preserve">United Kingdom</t>
        </is>
      </c>
      <c r="C108" s="0" t="inlineStr">
        <is>
          <t xml:space="preserve">Customer success</t>
        </is>
      </c>
      <c r="D108" s="12">
        <f>""</f>
      </c>
      <c r="E108" s="12">
        <f>""</f>
      </c>
      <c r="F108" s="12">
        <f>""</f>
      </c>
      <c r="G108" s="12">
        <f>""</f>
      </c>
      <c r="H108" s="12">
        <f>""</f>
      </c>
      <c r="I108" s="12">
        <f>""</f>
      </c>
      <c r="J108" s="12">
        <f>""</f>
      </c>
    </row>
    <row r="109">
      <c r="A109" s="0" t="inlineStr">
        <is>
          <t xml:space="preserve">Marketing programs</t>
        </is>
      </c>
      <c r="B109" s="0" t="inlineStr">
        <is>
          <t xml:space="preserve">United Kingdom</t>
        </is>
      </c>
      <c r="C109" s="0" t="inlineStr">
        <is>
          <t xml:space="preserve">G&amp;A</t>
        </is>
      </c>
      <c r="D109" s="12">
        <f>""</f>
      </c>
      <c r="E109" s="12">
        <f>""</f>
      </c>
      <c r="F109" s="12">
        <f>""</f>
      </c>
      <c r="G109" s="12">
        <f>""</f>
      </c>
      <c r="H109" s="12">
        <f>""</f>
      </c>
      <c r="I109" s="12">
        <f>""</f>
      </c>
      <c r="J109" s="12">
        <f>""</f>
      </c>
    </row>
    <row r="110">
      <c r="A110" s="0" t="inlineStr">
        <is>
          <t xml:space="preserve">Software and tools</t>
        </is>
      </c>
      <c r="B110" s="0" t="inlineStr">
        <is>
          <t xml:space="preserve">United States</t>
        </is>
      </c>
      <c r="C110" s="0" t="inlineStr">
        <is>
          <t xml:space="preserve">Company (revenue and cost of revenue)</t>
        </is>
      </c>
      <c r="D110" s="12">
        <f>""</f>
      </c>
      <c r="E110" s="12">
        <f>""</f>
      </c>
      <c r="F110" s="12">
        <f>""</f>
      </c>
      <c r="G110" s="12">
        <f>""</f>
      </c>
      <c r="H110" s="12">
        <f>""</f>
      </c>
      <c r="I110" s="12">
        <f>""</f>
      </c>
      <c r="J110" s="12">
        <f>""</f>
      </c>
    </row>
    <row r="111">
      <c r="A111" s="0" t="inlineStr">
        <is>
          <t xml:space="preserve">Software and tools</t>
        </is>
      </c>
      <c r="B111" s="0" t="inlineStr">
        <is>
          <t xml:space="preserve">United States</t>
        </is>
      </c>
      <c r="C111" s="0" t="inlineStr">
        <is>
          <t xml:space="preserve">Sales</t>
        </is>
      </c>
      <c r="D111" s="12">
        <f>""</f>
      </c>
      <c r="E111" s="12">
        <f>""</f>
      </c>
      <c r="F111" s="12">
        <f>""</f>
      </c>
      <c r="G111" s="12">
        <f>""</f>
      </c>
      <c r="H111" s="12">
        <f>""</f>
      </c>
      <c r="I111" s="12">
        <f>""</f>
      </c>
      <c r="J111" s="12">
        <f>""</f>
      </c>
    </row>
    <row r="112">
      <c r="A112" s="0" t="inlineStr">
        <is>
          <t xml:space="preserve">Software and tools</t>
        </is>
      </c>
      <c r="B112" s="0" t="inlineStr">
        <is>
          <t xml:space="preserve">United States</t>
        </is>
      </c>
      <c r="C112" s="0" t="inlineStr">
        <is>
          <t xml:space="preserve">Marketing</t>
        </is>
      </c>
      <c r="D112" s="12">
        <f>""</f>
      </c>
      <c r="E112" s="12">
        <f>""</f>
      </c>
      <c r="F112" s="12">
        <f>""</f>
      </c>
      <c r="G112" s="12">
        <f>""</f>
      </c>
      <c r="H112" s="12">
        <f>""</f>
      </c>
      <c r="I112" s="12">
        <f>""</f>
      </c>
      <c r="J112" s="12">
        <f>""</f>
      </c>
    </row>
    <row r="113">
      <c r="A113" s="0" t="inlineStr">
        <is>
          <t xml:space="preserve">Software and tools</t>
        </is>
      </c>
      <c r="B113" s="0" t="inlineStr">
        <is>
          <t xml:space="preserve">United States</t>
        </is>
      </c>
      <c r="C113" s="0" t="inlineStr">
        <is>
          <t xml:space="preserve">Engineering</t>
        </is>
      </c>
      <c r="D113" s="12">
        <f>""</f>
      </c>
      <c r="E113" s="12">
        <f>""</f>
      </c>
      <c r="F113" s="12">
        <f>""</f>
      </c>
      <c r="G113" s="12">
        <f>""</f>
      </c>
      <c r="H113" s="12">
        <f>""</f>
      </c>
      <c r="I113" s="12">
        <f>""</f>
      </c>
      <c r="J113" s="12">
        <f>""</f>
      </c>
    </row>
    <row r="114">
      <c r="A114" s="0" t="inlineStr">
        <is>
          <t xml:space="preserve">Software and tools</t>
        </is>
      </c>
      <c r="B114" s="0" t="inlineStr">
        <is>
          <t xml:space="preserve">United States</t>
        </is>
      </c>
      <c r="C114" s="0" t="inlineStr">
        <is>
          <t xml:space="preserve">Customer success</t>
        </is>
      </c>
      <c r="D114" s="12">
        <f>""</f>
      </c>
      <c r="E114" s="12">
        <f>""</f>
      </c>
      <c r="F114" s="12">
        <f>""</f>
      </c>
      <c r="G114" s="12">
        <f>""</f>
      </c>
      <c r="H114" s="12">
        <f>""</f>
      </c>
      <c r="I114" s="12">
        <f>""</f>
      </c>
      <c r="J114" s="12">
        <f>""</f>
      </c>
    </row>
    <row r="115">
      <c r="A115" s="0" t="inlineStr">
        <is>
          <t xml:space="preserve">Software and tools</t>
        </is>
      </c>
      <c r="B115" s="0" t="inlineStr">
        <is>
          <t xml:space="preserve">United States</t>
        </is>
      </c>
      <c r="C115" s="0" t="inlineStr">
        <is>
          <t xml:space="preserve">G&amp;A</t>
        </is>
      </c>
      <c r="D115" s="12">
        <f>""</f>
      </c>
      <c r="E115" s="12">
        <f>""</f>
      </c>
      <c r="F115" s="12">
        <f>""</f>
      </c>
      <c r="G115" s="12">
        <f>""</f>
      </c>
      <c r="H115" s="12">
        <f>""</f>
      </c>
      <c r="I115" s="12">
        <f>""</f>
      </c>
      <c r="J115" s="12">
        <f>""</f>
      </c>
    </row>
    <row r="116">
      <c r="A116" s="0" t="inlineStr">
        <is>
          <t xml:space="preserve">Software and tools</t>
        </is>
      </c>
      <c r="B116" s="0" t="inlineStr">
        <is>
          <t xml:space="preserve">United Kingdom</t>
        </is>
      </c>
      <c r="C116" s="0" t="inlineStr">
        <is>
          <t xml:space="preserve">Company (revenue and cost of revenue)</t>
        </is>
      </c>
      <c r="D116" s="12">
        <f>""</f>
      </c>
      <c r="E116" s="12">
        <f>""</f>
      </c>
      <c r="F116" s="12">
        <f>""</f>
      </c>
      <c r="G116" s="12">
        <f>""</f>
      </c>
      <c r="H116" s="12">
        <f>""</f>
      </c>
      <c r="I116" s="12">
        <f>""</f>
      </c>
      <c r="J116" s="12">
        <f>""</f>
      </c>
    </row>
    <row r="117">
      <c r="A117" s="0" t="inlineStr">
        <is>
          <t xml:space="preserve">Software and tools</t>
        </is>
      </c>
      <c r="B117" s="0" t="inlineStr">
        <is>
          <t xml:space="preserve">United Kingdom</t>
        </is>
      </c>
      <c r="C117" s="0" t="inlineStr">
        <is>
          <t xml:space="preserve">Sales</t>
        </is>
      </c>
      <c r="D117" s="12">
        <f>""</f>
      </c>
      <c r="E117" s="12">
        <f>""</f>
      </c>
      <c r="F117" s="12">
        <f>""</f>
      </c>
      <c r="G117" s="12">
        <f>""</f>
      </c>
      <c r="H117" s="12">
        <f>""</f>
      </c>
      <c r="I117" s="12">
        <f>""</f>
      </c>
      <c r="J117" s="12">
        <f>""</f>
      </c>
    </row>
    <row r="118">
      <c r="A118" s="0" t="inlineStr">
        <is>
          <t xml:space="preserve">Software and tools</t>
        </is>
      </c>
      <c r="B118" s="0" t="inlineStr">
        <is>
          <t xml:space="preserve">United Kingdom</t>
        </is>
      </c>
      <c r="C118" s="0" t="inlineStr">
        <is>
          <t xml:space="preserve">Marketing</t>
        </is>
      </c>
      <c r="D118" s="12">
        <f>""</f>
      </c>
      <c r="E118" s="12">
        <f>""</f>
      </c>
      <c r="F118" s="12">
        <f>""</f>
      </c>
      <c r="G118" s="12">
        <f>""</f>
      </c>
      <c r="H118" s="12">
        <f>""</f>
      </c>
      <c r="I118" s="12">
        <f>""</f>
      </c>
      <c r="J118" s="12">
        <f>""</f>
      </c>
    </row>
    <row r="119">
      <c r="A119" s="0" t="inlineStr">
        <is>
          <t xml:space="preserve">Software and tools</t>
        </is>
      </c>
      <c r="B119" s="0" t="inlineStr">
        <is>
          <t xml:space="preserve">United Kingdom</t>
        </is>
      </c>
      <c r="C119" s="0" t="inlineStr">
        <is>
          <t xml:space="preserve">Engineering</t>
        </is>
      </c>
      <c r="D119" s="12">
        <f>""</f>
      </c>
      <c r="E119" s="12">
        <f>""</f>
      </c>
      <c r="F119" s="12">
        <f>""</f>
      </c>
      <c r="G119" s="12">
        <f>""</f>
      </c>
      <c r="H119" s="12">
        <f>""</f>
      </c>
      <c r="I119" s="12">
        <f>""</f>
      </c>
      <c r="J119" s="12">
        <f>""</f>
      </c>
    </row>
    <row r="120">
      <c r="A120" s="0" t="inlineStr">
        <is>
          <t xml:space="preserve">Software and tools</t>
        </is>
      </c>
      <c r="B120" s="0" t="inlineStr">
        <is>
          <t xml:space="preserve">United Kingdom</t>
        </is>
      </c>
      <c r="C120" s="0" t="inlineStr">
        <is>
          <t xml:space="preserve">Customer success</t>
        </is>
      </c>
      <c r="D120" s="12">
        <f>""</f>
      </c>
      <c r="E120" s="12">
        <f>""</f>
      </c>
      <c r="F120" s="12">
        <f>""</f>
      </c>
      <c r="G120" s="12">
        <f>""</f>
      </c>
      <c r="H120" s="12">
        <f>""</f>
      </c>
      <c r="I120" s="12">
        <f>""</f>
      </c>
      <c r="J120" s="12">
        <f>""</f>
      </c>
    </row>
    <row r="121">
      <c r="A121" s="0" t="inlineStr">
        <is>
          <t xml:space="preserve">Software and tools</t>
        </is>
      </c>
      <c r="B121" s="0" t="inlineStr">
        <is>
          <t xml:space="preserve">United Kingdom</t>
        </is>
      </c>
      <c r="C121" s="0" t="inlineStr">
        <is>
          <t xml:space="preserve">G&amp;A</t>
        </is>
      </c>
      <c r="D121" s="12">
        <f>""</f>
      </c>
      <c r="E121" s="12">
        <f>""</f>
      </c>
      <c r="F121" s="12">
        <f>""</f>
      </c>
      <c r="G121" s="12">
        <f>""</f>
      </c>
      <c r="H121" s="12">
        <f>""</f>
      </c>
      <c r="I121" s="12">
        <f>""</f>
      </c>
      <c r="J121" s="12">
        <f>""</f>
      </c>
    </row>
    <row r="122">
      <c r="A122" s="0" t="inlineStr">
        <is>
          <t xml:space="preserve">Travel and events</t>
        </is>
      </c>
      <c r="B122" s="0" t="inlineStr">
        <is>
          <t xml:space="preserve">United States</t>
        </is>
      </c>
      <c r="C122" s="0" t="inlineStr">
        <is>
          <t xml:space="preserve">Company (revenue and cost of revenue)</t>
        </is>
      </c>
      <c r="D122" s="12">
        <f>""</f>
      </c>
      <c r="E122" s="12">
        <f>""</f>
      </c>
      <c r="F122" s="12">
        <f>""</f>
      </c>
      <c r="G122" s="12">
        <f>""</f>
      </c>
      <c r="H122" s="12">
        <f>""</f>
      </c>
      <c r="I122" s="12">
        <f>""</f>
      </c>
      <c r="J122" s="12">
        <f>""</f>
      </c>
    </row>
    <row r="123">
      <c r="A123" s="0" t="inlineStr">
        <is>
          <t xml:space="preserve">Travel and events</t>
        </is>
      </c>
      <c r="B123" s="0" t="inlineStr">
        <is>
          <t xml:space="preserve">United States</t>
        </is>
      </c>
      <c r="C123" s="0" t="inlineStr">
        <is>
          <t xml:space="preserve">Sales</t>
        </is>
      </c>
      <c r="D123" s="12">
        <f>""</f>
      </c>
      <c r="E123" s="12">
        <f>""</f>
      </c>
      <c r="F123" s="12">
        <f>""</f>
      </c>
      <c r="G123" s="12">
        <f>""</f>
      </c>
      <c r="H123" s="12">
        <f>""</f>
      </c>
      <c r="I123" s="12">
        <f>""</f>
      </c>
      <c r="J123" s="12">
        <f>""</f>
      </c>
    </row>
    <row r="124">
      <c r="A124" s="0" t="inlineStr">
        <is>
          <t xml:space="preserve">Travel and events</t>
        </is>
      </c>
      <c r="B124" s="0" t="inlineStr">
        <is>
          <t xml:space="preserve">United States</t>
        </is>
      </c>
      <c r="C124" s="0" t="inlineStr">
        <is>
          <t xml:space="preserve">Marketing</t>
        </is>
      </c>
      <c r="D124" s="12">
        <f>""</f>
      </c>
      <c r="E124" s="12">
        <f>""</f>
      </c>
      <c r="F124" s="12">
        <f>""</f>
      </c>
      <c r="G124" s="12">
        <f>""</f>
      </c>
      <c r="H124" s="12">
        <f>""</f>
      </c>
      <c r="I124" s="12">
        <f>""</f>
      </c>
      <c r="J124" s="12">
        <f>""</f>
      </c>
    </row>
    <row r="125">
      <c r="A125" s="0" t="inlineStr">
        <is>
          <t xml:space="preserve">Travel and events</t>
        </is>
      </c>
      <c r="B125" s="0" t="inlineStr">
        <is>
          <t xml:space="preserve">United States</t>
        </is>
      </c>
      <c r="C125" s="0" t="inlineStr">
        <is>
          <t xml:space="preserve">Engineering</t>
        </is>
      </c>
      <c r="D125" s="12">
        <f>""</f>
      </c>
      <c r="E125" s="12">
        <f>""</f>
      </c>
      <c r="F125" s="12">
        <f>""</f>
      </c>
      <c r="G125" s="12">
        <f>""</f>
      </c>
      <c r="H125" s="12">
        <f>""</f>
      </c>
      <c r="I125" s="12">
        <f>""</f>
      </c>
      <c r="J125" s="12">
        <f>""</f>
      </c>
    </row>
    <row r="126">
      <c r="A126" s="0" t="inlineStr">
        <is>
          <t xml:space="preserve">Travel and events</t>
        </is>
      </c>
      <c r="B126" s="0" t="inlineStr">
        <is>
          <t xml:space="preserve">United States</t>
        </is>
      </c>
      <c r="C126" s="0" t="inlineStr">
        <is>
          <t xml:space="preserve">Customer success</t>
        </is>
      </c>
      <c r="D126" s="12">
        <f>""</f>
      </c>
      <c r="E126" s="12">
        <f>""</f>
      </c>
      <c r="F126" s="12">
        <f>""</f>
      </c>
      <c r="G126" s="12">
        <f>""</f>
      </c>
      <c r="H126" s="12">
        <f>""</f>
      </c>
      <c r="I126" s="12">
        <f>""</f>
      </c>
      <c r="J126" s="12">
        <f>""</f>
      </c>
    </row>
    <row r="127">
      <c r="A127" s="0" t="inlineStr">
        <is>
          <t xml:space="preserve">Travel and events</t>
        </is>
      </c>
      <c r="B127" s="0" t="inlineStr">
        <is>
          <t xml:space="preserve">United States</t>
        </is>
      </c>
      <c r="C127" s="0" t="inlineStr">
        <is>
          <t xml:space="preserve">G&amp;A</t>
        </is>
      </c>
      <c r="D127" s="12">
        <f>""</f>
      </c>
      <c r="E127" s="12">
        <f>""</f>
      </c>
      <c r="F127" s="12">
        <f>""</f>
      </c>
      <c r="G127" s="12">
        <f>""</f>
      </c>
      <c r="H127" s="12">
        <f>""</f>
      </c>
      <c r="I127" s="12">
        <f>""</f>
      </c>
      <c r="J127" s="12">
        <f>""</f>
      </c>
    </row>
    <row r="128">
      <c r="A128" s="0" t="inlineStr">
        <is>
          <t xml:space="preserve">Travel and events</t>
        </is>
      </c>
      <c r="B128" s="0" t="inlineStr">
        <is>
          <t xml:space="preserve">United Kingdom</t>
        </is>
      </c>
      <c r="C128" s="0" t="inlineStr">
        <is>
          <t xml:space="preserve">Company (revenue and cost of revenue)</t>
        </is>
      </c>
      <c r="D128" s="12">
        <f>""</f>
      </c>
      <c r="E128" s="12">
        <f>""</f>
      </c>
      <c r="F128" s="12">
        <f>""</f>
      </c>
      <c r="G128" s="12">
        <f>""</f>
      </c>
      <c r="H128" s="12">
        <f>""</f>
      </c>
      <c r="I128" s="12">
        <f>""</f>
      </c>
      <c r="J128" s="12">
        <f>""</f>
      </c>
    </row>
    <row r="129">
      <c r="A129" s="0" t="inlineStr">
        <is>
          <t xml:space="preserve">Travel and events</t>
        </is>
      </c>
      <c r="B129" s="0" t="inlineStr">
        <is>
          <t xml:space="preserve">United Kingdom</t>
        </is>
      </c>
      <c r="C129" s="0" t="inlineStr">
        <is>
          <t xml:space="preserve">Sales</t>
        </is>
      </c>
      <c r="D129" s="12">
        <f>""</f>
      </c>
      <c r="E129" s="12">
        <f>""</f>
      </c>
      <c r="F129" s="12">
        <f>""</f>
      </c>
      <c r="G129" s="12">
        <f>""</f>
      </c>
      <c r="H129" s="12">
        <f>""</f>
      </c>
      <c r="I129" s="12">
        <f>""</f>
      </c>
      <c r="J129" s="12">
        <f>""</f>
      </c>
    </row>
    <row r="130">
      <c r="A130" s="0" t="inlineStr">
        <is>
          <t xml:space="preserve">Travel and events</t>
        </is>
      </c>
      <c r="B130" s="0" t="inlineStr">
        <is>
          <t xml:space="preserve">United Kingdom</t>
        </is>
      </c>
      <c r="C130" s="0" t="inlineStr">
        <is>
          <t xml:space="preserve">Marketing</t>
        </is>
      </c>
      <c r="D130" s="12">
        <f>""</f>
      </c>
      <c r="E130" s="12">
        <f>""</f>
      </c>
      <c r="F130" s="12">
        <f>""</f>
      </c>
      <c r="G130" s="12">
        <f>""</f>
      </c>
      <c r="H130" s="12">
        <f>""</f>
      </c>
      <c r="I130" s="12">
        <f>""</f>
      </c>
      <c r="J130" s="12">
        <f>""</f>
      </c>
    </row>
    <row r="131">
      <c r="A131" s="0" t="inlineStr">
        <is>
          <t xml:space="preserve">Travel and events</t>
        </is>
      </c>
      <c r="B131" s="0" t="inlineStr">
        <is>
          <t xml:space="preserve">United Kingdom</t>
        </is>
      </c>
      <c r="C131" s="0" t="inlineStr">
        <is>
          <t xml:space="preserve">Engineering</t>
        </is>
      </c>
      <c r="D131" s="12">
        <f>""</f>
      </c>
      <c r="E131" s="12">
        <f>""</f>
      </c>
      <c r="F131" s="12">
        <f>""</f>
      </c>
      <c r="G131" s="12">
        <f>""</f>
      </c>
      <c r="H131" s="12">
        <f>""</f>
      </c>
      <c r="I131" s="12">
        <f>""</f>
      </c>
      <c r="J131" s="12">
        <f>""</f>
      </c>
    </row>
    <row r="132">
      <c r="A132" s="0" t="inlineStr">
        <is>
          <t xml:space="preserve">Travel and events</t>
        </is>
      </c>
      <c r="B132" s="0" t="inlineStr">
        <is>
          <t xml:space="preserve">United Kingdom</t>
        </is>
      </c>
      <c r="C132" s="0" t="inlineStr">
        <is>
          <t xml:space="preserve">Customer success</t>
        </is>
      </c>
      <c r="D132" s="12">
        <f>""</f>
      </c>
      <c r="E132" s="12">
        <f>""</f>
      </c>
      <c r="F132" s="12">
        <f>""</f>
      </c>
      <c r="G132" s="12">
        <f>""</f>
      </c>
      <c r="H132" s="12">
        <f>""</f>
      </c>
      <c r="I132" s="12">
        <f>""</f>
      </c>
      <c r="J132" s="12">
        <f>""</f>
      </c>
    </row>
    <row r="133">
      <c r="A133" s="0" t="inlineStr">
        <is>
          <t xml:space="preserve">Travel and events</t>
        </is>
      </c>
      <c r="B133" s="0" t="inlineStr">
        <is>
          <t xml:space="preserve">United Kingdom</t>
        </is>
      </c>
      <c r="C133" s="0" t="inlineStr">
        <is>
          <t xml:space="preserve">G&amp;A</t>
        </is>
      </c>
      <c r="D133" s="12">
        <f>""</f>
      </c>
      <c r="E133" s="12">
        <f>""</f>
      </c>
      <c r="F133" s="12">
        <f>""</f>
      </c>
      <c r="G133" s="12">
        <f>""</f>
      </c>
      <c r="H133" s="12">
        <f>""</f>
      </c>
      <c r="I133" s="12">
        <f>""</f>
      </c>
      <c r="J133" s="12">
        <f>""</f>
      </c>
    </row>
    <row r="134">
      <c r="A134" s="0" t="inlineStr">
        <is>
          <t xml:space="preserve">Rent and facilities</t>
        </is>
      </c>
      <c r="B134" s="0" t="inlineStr">
        <is>
          <t xml:space="preserve">United States</t>
        </is>
      </c>
      <c r="C134" s="0" t="inlineStr">
        <is>
          <t xml:space="preserve">Company (revenue and cost of revenue)</t>
        </is>
      </c>
      <c r="D134" s="12">
        <f>""</f>
      </c>
      <c r="E134" s="12">
        <f>""</f>
      </c>
      <c r="F134" s="12">
        <f>""</f>
      </c>
      <c r="G134" s="12">
        <f>""</f>
      </c>
      <c r="H134" s="12">
        <f>""</f>
      </c>
      <c r="I134" s="12">
        <f>""</f>
      </c>
      <c r="J134" s="12">
        <f>""</f>
      </c>
    </row>
    <row r="135">
      <c r="A135" s="0" t="inlineStr">
        <is>
          <t xml:space="preserve">Rent and facilities</t>
        </is>
      </c>
      <c r="B135" s="0" t="inlineStr">
        <is>
          <t xml:space="preserve">United States</t>
        </is>
      </c>
      <c r="C135" s="0" t="inlineStr">
        <is>
          <t xml:space="preserve">Sales</t>
        </is>
      </c>
      <c r="D135" s="12">
        <f>""</f>
      </c>
      <c r="E135" s="12">
        <f>""</f>
      </c>
      <c r="F135" s="12">
        <f>""</f>
      </c>
      <c r="G135" s="12">
        <f>""</f>
      </c>
      <c r="H135" s="12">
        <f>""</f>
      </c>
      <c r="I135" s="12">
        <f>""</f>
      </c>
      <c r="J135" s="12">
        <f>""</f>
      </c>
    </row>
    <row r="136">
      <c r="A136" s="0" t="inlineStr">
        <is>
          <t xml:space="preserve">Rent and facilities</t>
        </is>
      </c>
      <c r="B136" s="0" t="inlineStr">
        <is>
          <t xml:space="preserve">United States</t>
        </is>
      </c>
      <c r="C136" s="0" t="inlineStr">
        <is>
          <t xml:space="preserve">Marketing</t>
        </is>
      </c>
      <c r="D136" s="12">
        <f>""</f>
      </c>
      <c r="E136" s="12">
        <f>""</f>
      </c>
      <c r="F136" s="12">
        <f>""</f>
      </c>
      <c r="G136" s="12">
        <f>""</f>
      </c>
      <c r="H136" s="12">
        <f>""</f>
      </c>
      <c r="I136" s="12">
        <f>""</f>
      </c>
      <c r="J136" s="12">
        <f>""</f>
      </c>
    </row>
    <row r="137">
      <c r="A137" s="0" t="inlineStr">
        <is>
          <t xml:space="preserve">Rent and facilities</t>
        </is>
      </c>
      <c r="B137" s="0" t="inlineStr">
        <is>
          <t xml:space="preserve">United States</t>
        </is>
      </c>
      <c r="C137" s="0" t="inlineStr">
        <is>
          <t xml:space="preserve">Engineering</t>
        </is>
      </c>
      <c r="D137" s="12">
        <f>""</f>
      </c>
      <c r="E137" s="12">
        <f>""</f>
      </c>
      <c r="F137" s="12">
        <f>""</f>
      </c>
      <c r="G137" s="12">
        <f>""</f>
      </c>
      <c r="H137" s="12">
        <f>""</f>
      </c>
      <c r="I137" s="12">
        <f>""</f>
      </c>
      <c r="J137" s="12">
        <f>""</f>
      </c>
    </row>
    <row r="138">
      <c r="A138" s="0" t="inlineStr">
        <is>
          <t xml:space="preserve">Rent and facilities</t>
        </is>
      </c>
      <c r="B138" s="0" t="inlineStr">
        <is>
          <t xml:space="preserve">United States</t>
        </is>
      </c>
      <c r="C138" s="0" t="inlineStr">
        <is>
          <t xml:space="preserve">Customer success</t>
        </is>
      </c>
      <c r="D138" s="12">
        <f>""</f>
      </c>
      <c r="E138" s="12">
        <f>""</f>
      </c>
      <c r="F138" s="12">
        <f>""</f>
      </c>
      <c r="G138" s="12">
        <f>""</f>
      </c>
      <c r="H138" s="12">
        <f>""</f>
      </c>
      <c r="I138" s="12">
        <f>""</f>
      </c>
      <c r="J138" s="12">
        <f>""</f>
      </c>
    </row>
    <row r="139">
      <c r="A139" s="0" t="inlineStr">
        <is>
          <t xml:space="preserve">Rent and facilities</t>
        </is>
      </c>
      <c r="B139" s="0" t="inlineStr">
        <is>
          <t xml:space="preserve">United States</t>
        </is>
      </c>
      <c r="C139" s="0" t="inlineStr">
        <is>
          <t xml:space="preserve">G&amp;A</t>
        </is>
      </c>
      <c r="D139" s="12">
        <f>""</f>
      </c>
      <c r="E139" s="12">
        <f>""</f>
      </c>
      <c r="F139" s="12">
        <f>""</f>
      </c>
      <c r="G139" s="12">
        <f>""</f>
      </c>
      <c r="H139" s="12">
        <f>""</f>
      </c>
      <c r="I139" s="12">
        <f>""</f>
      </c>
      <c r="J139" s="12">
        <f>""</f>
      </c>
    </row>
    <row r="140">
      <c r="A140" s="0" t="inlineStr">
        <is>
          <t xml:space="preserve">Rent and facilities</t>
        </is>
      </c>
      <c r="B140" s="0" t="inlineStr">
        <is>
          <t xml:space="preserve">United Kingdom</t>
        </is>
      </c>
      <c r="C140" s="0" t="inlineStr">
        <is>
          <t xml:space="preserve">Company (revenue and cost of revenue)</t>
        </is>
      </c>
      <c r="D140" s="12">
        <f>""</f>
      </c>
      <c r="E140" s="12">
        <f>""</f>
      </c>
      <c r="F140" s="12">
        <f>""</f>
      </c>
      <c r="G140" s="12">
        <f>""</f>
      </c>
      <c r="H140" s="12">
        <f>""</f>
      </c>
      <c r="I140" s="12">
        <f>""</f>
      </c>
      <c r="J140" s="12">
        <f>""</f>
      </c>
    </row>
    <row r="141">
      <c r="A141" s="0" t="inlineStr">
        <is>
          <t xml:space="preserve">Rent and facilities</t>
        </is>
      </c>
      <c r="B141" s="0" t="inlineStr">
        <is>
          <t xml:space="preserve">United Kingdom</t>
        </is>
      </c>
      <c r="C141" s="0" t="inlineStr">
        <is>
          <t xml:space="preserve">Sales</t>
        </is>
      </c>
      <c r="D141" s="12">
        <f>""</f>
      </c>
      <c r="E141" s="12">
        <f>""</f>
      </c>
      <c r="F141" s="12">
        <f>""</f>
      </c>
      <c r="G141" s="12">
        <f>""</f>
      </c>
      <c r="H141" s="12">
        <f>""</f>
      </c>
      <c r="I141" s="12">
        <f>""</f>
      </c>
      <c r="J141" s="12">
        <f>""</f>
      </c>
    </row>
    <row r="142">
      <c r="A142" s="0" t="inlineStr">
        <is>
          <t xml:space="preserve">Rent and facilities</t>
        </is>
      </c>
      <c r="B142" s="0" t="inlineStr">
        <is>
          <t xml:space="preserve">United Kingdom</t>
        </is>
      </c>
      <c r="C142" s="0" t="inlineStr">
        <is>
          <t xml:space="preserve">Marketing</t>
        </is>
      </c>
      <c r="D142" s="12">
        <f>""</f>
      </c>
      <c r="E142" s="12">
        <f>""</f>
      </c>
      <c r="F142" s="12">
        <f>""</f>
      </c>
      <c r="G142" s="12">
        <f>""</f>
      </c>
      <c r="H142" s="12">
        <f>""</f>
      </c>
      <c r="I142" s="12">
        <f>""</f>
      </c>
      <c r="J142" s="12">
        <f>""</f>
      </c>
    </row>
    <row r="143">
      <c r="A143" s="0" t="inlineStr">
        <is>
          <t xml:space="preserve">Rent and facilities</t>
        </is>
      </c>
      <c r="B143" s="0" t="inlineStr">
        <is>
          <t xml:space="preserve">United Kingdom</t>
        </is>
      </c>
      <c r="C143" s="0" t="inlineStr">
        <is>
          <t xml:space="preserve">Engineering</t>
        </is>
      </c>
      <c r="D143" s="12">
        <f>""</f>
      </c>
      <c r="E143" s="12">
        <f>""</f>
      </c>
      <c r="F143" s="12">
        <f>""</f>
      </c>
      <c r="G143" s="12">
        <f>""</f>
      </c>
      <c r="H143" s="12">
        <f>""</f>
      </c>
      <c r="I143" s="12">
        <f>""</f>
      </c>
      <c r="J143" s="12">
        <f>""</f>
      </c>
    </row>
    <row r="144">
      <c r="A144" s="0" t="inlineStr">
        <is>
          <t xml:space="preserve">Rent and facilities</t>
        </is>
      </c>
      <c r="B144" s="0" t="inlineStr">
        <is>
          <t xml:space="preserve">United Kingdom</t>
        </is>
      </c>
      <c r="C144" s="0" t="inlineStr">
        <is>
          <t xml:space="preserve">Customer success</t>
        </is>
      </c>
      <c r="D144" s="12">
        <f>""</f>
      </c>
      <c r="E144" s="12">
        <f>""</f>
      </c>
      <c r="F144" s="12">
        <f>""</f>
      </c>
      <c r="G144" s="12">
        <f>""</f>
      </c>
      <c r="H144" s="12">
        <f>""</f>
      </c>
      <c r="I144" s="12">
        <f>""</f>
      </c>
      <c r="J144" s="12">
        <f>""</f>
      </c>
    </row>
    <row r="145">
      <c r="A145" s="0" t="inlineStr">
        <is>
          <t xml:space="preserve">Rent and facilities</t>
        </is>
      </c>
      <c r="B145" s="0" t="inlineStr">
        <is>
          <t xml:space="preserve">United Kingdom</t>
        </is>
      </c>
      <c r="C145" s="0" t="inlineStr">
        <is>
          <t xml:space="preserve">G&amp;A</t>
        </is>
      </c>
      <c r="D145" s="12">
        <f>""</f>
      </c>
      <c r="E145" s="12">
        <f>""</f>
      </c>
      <c r="F145" s="12">
        <f>""</f>
      </c>
      <c r="G145" s="12">
        <f>""</f>
      </c>
      <c r="H145" s="12">
        <f>""</f>
      </c>
      <c r="I145" s="12">
        <f>""</f>
      </c>
      <c r="J145" s="12">
        <f>""</f>
      </c>
    </row>
    <row r="146">
      <c r="A146" s="0" t="inlineStr">
        <is>
          <t xml:space="preserve">Professional fees</t>
        </is>
      </c>
      <c r="B146" s="0" t="inlineStr">
        <is>
          <t xml:space="preserve">United States</t>
        </is>
      </c>
      <c r="C146" s="0" t="inlineStr">
        <is>
          <t xml:space="preserve">Company (revenue and cost of revenue)</t>
        </is>
      </c>
      <c r="D146" s="12">
        <f>""</f>
      </c>
      <c r="E146" s="12">
        <f>""</f>
      </c>
      <c r="F146" s="12">
        <f>""</f>
      </c>
      <c r="G146" s="12">
        <f>""</f>
      </c>
      <c r="H146" s="12">
        <f>""</f>
      </c>
      <c r="I146" s="12">
        <f>""</f>
      </c>
      <c r="J146" s="12">
        <f>""</f>
      </c>
    </row>
    <row r="147">
      <c r="A147" s="0" t="inlineStr">
        <is>
          <t xml:space="preserve">Professional fees</t>
        </is>
      </c>
      <c r="B147" s="0" t="inlineStr">
        <is>
          <t xml:space="preserve">United States</t>
        </is>
      </c>
      <c r="C147" s="0" t="inlineStr">
        <is>
          <t xml:space="preserve">Sales</t>
        </is>
      </c>
      <c r="D147" s="12">
        <f>""</f>
      </c>
      <c r="E147" s="12">
        <f>""</f>
      </c>
      <c r="F147" s="12">
        <f>""</f>
      </c>
      <c r="G147" s="12">
        <f>""</f>
      </c>
      <c r="H147" s="12">
        <f>""</f>
      </c>
      <c r="I147" s="12">
        <f>""</f>
      </c>
      <c r="J147" s="12">
        <f>""</f>
      </c>
    </row>
    <row r="148">
      <c r="A148" s="0" t="inlineStr">
        <is>
          <t xml:space="preserve">Professional fees</t>
        </is>
      </c>
      <c r="B148" s="0" t="inlineStr">
        <is>
          <t xml:space="preserve">United States</t>
        </is>
      </c>
      <c r="C148" s="0" t="inlineStr">
        <is>
          <t xml:space="preserve">Marketing</t>
        </is>
      </c>
      <c r="D148" s="12">
        <f>""</f>
      </c>
      <c r="E148" s="12">
        <f>""</f>
      </c>
      <c r="F148" s="12">
        <f>""</f>
      </c>
      <c r="G148" s="12">
        <f>""</f>
      </c>
      <c r="H148" s="12">
        <f>""</f>
      </c>
      <c r="I148" s="12">
        <f>""</f>
      </c>
      <c r="J148" s="12">
        <f>""</f>
      </c>
    </row>
    <row r="149">
      <c r="A149" s="0" t="inlineStr">
        <is>
          <t xml:space="preserve">Professional fees</t>
        </is>
      </c>
      <c r="B149" s="0" t="inlineStr">
        <is>
          <t xml:space="preserve">United States</t>
        </is>
      </c>
      <c r="C149" s="0" t="inlineStr">
        <is>
          <t xml:space="preserve">Engineering</t>
        </is>
      </c>
      <c r="D149" s="12">
        <f>""</f>
      </c>
      <c r="E149" s="12">
        <f>""</f>
      </c>
      <c r="F149" s="12">
        <f>""</f>
      </c>
      <c r="G149" s="12">
        <f>""</f>
      </c>
      <c r="H149" s="12">
        <f>""</f>
      </c>
      <c r="I149" s="12">
        <f>""</f>
      </c>
      <c r="J149" s="12">
        <f>""</f>
      </c>
    </row>
    <row r="150">
      <c r="A150" s="0" t="inlineStr">
        <is>
          <t xml:space="preserve">Professional fees</t>
        </is>
      </c>
      <c r="B150" s="0" t="inlineStr">
        <is>
          <t xml:space="preserve">United States</t>
        </is>
      </c>
      <c r="C150" s="0" t="inlineStr">
        <is>
          <t xml:space="preserve">Customer success</t>
        </is>
      </c>
      <c r="D150" s="12">
        <f>""</f>
      </c>
      <c r="E150" s="12">
        <f>""</f>
      </c>
      <c r="F150" s="12">
        <f>""</f>
      </c>
      <c r="G150" s="12">
        <f>""</f>
      </c>
      <c r="H150" s="12">
        <f>""</f>
      </c>
      <c r="I150" s="12">
        <f>""</f>
      </c>
      <c r="J150" s="12">
        <f>""</f>
      </c>
    </row>
    <row r="151">
      <c r="A151" s="0" t="inlineStr">
        <is>
          <t xml:space="preserve">Professional fees</t>
        </is>
      </c>
      <c r="B151" s="0" t="inlineStr">
        <is>
          <t xml:space="preserve">United States</t>
        </is>
      </c>
      <c r="C151" s="0" t="inlineStr">
        <is>
          <t xml:space="preserve">G&amp;A</t>
        </is>
      </c>
      <c r="D151" s="12">
        <f>""</f>
      </c>
      <c r="E151" s="12">
        <f>""</f>
      </c>
      <c r="F151" s="12">
        <f>""</f>
      </c>
      <c r="G151" s="12">
        <f>""</f>
      </c>
      <c r="H151" s="12">
        <f>""</f>
      </c>
      <c r="I151" s="12">
        <f>""</f>
      </c>
      <c r="J151" s="12">
        <f>""</f>
      </c>
    </row>
    <row r="152">
      <c r="A152" s="0" t="inlineStr">
        <is>
          <t xml:space="preserve">Professional fees</t>
        </is>
      </c>
      <c r="B152" s="0" t="inlineStr">
        <is>
          <t xml:space="preserve">United Kingdom</t>
        </is>
      </c>
      <c r="C152" s="0" t="inlineStr">
        <is>
          <t xml:space="preserve">Company (revenue and cost of revenue)</t>
        </is>
      </c>
      <c r="D152" s="12">
        <f>""</f>
      </c>
      <c r="E152" s="12">
        <f>""</f>
      </c>
      <c r="F152" s="12">
        <f>""</f>
      </c>
      <c r="G152" s="12">
        <f>""</f>
      </c>
      <c r="H152" s="12">
        <f>""</f>
      </c>
      <c r="I152" s="12">
        <f>""</f>
      </c>
      <c r="J152" s="12">
        <f>""</f>
      </c>
    </row>
    <row r="153">
      <c r="A153" s="0" t="inlineStr">
        <is>
          <t xml:space="preserve">Professional fees</t>
        </is>
      </c>
      <c r="B153" s="0" t="inlineStr">
        <is>
          <t xml:space="preserve">United Kingdom</t>
        </is>
      </c>
      <c r="C153" s="0" t="inlineStr">
        <is>
          <t xml:space="preserve">Sales</t>
        </is>
      </c>
      <c r="D153" s="12">
        <f>""</f>
      </c>
      <c r="E153" s="12">
        <f>""</f>
      </c>
      <c r="F153" s="12">
        <f>""</f>
      </c>
      <c r="G153" s="12">
        <f>""</f>
      </c>
      <c r="H153" s="12">
        <f>""</f>
      </c>
      <c r="I153" s="12">
        <f>""</f>
      </c>
      <c r="J153" s="12">
        <f>""</f>
      </c>
    </row>
    <row r="154">
      <c r="A154" s="0" t="inlineStr">
        <is>
          <t xml:space="preserve">Professional fees</t>
        </is>
      </c>
      <c r="B154" s="0" t="inlineStr">
        <is>
          <t xml:space="preserve">United Kingdom</t>
        </is>
      </c>
      <c r="C154" s="0" t="inlineStr">
        <is>
          <t xml:space="preserve">Marketing</t>
        </is>
      </c>
      <c r="D154" s="12">
        <f>""</f>
      </c>
      <c r="E154" s="12">
        <f>""</f>
      </c>
      <c r="F154" s="12">
        <f>""</f>
      </c>
      <c r="G154" s="12">
        <f>""</f>
      </c>
      <c r="H154" s="12">
        <f>""</f>
      </c>
      <c r="I154" s="12">
        <f>""</f>
      </c>
      <c r="J154" s="12">
        <f>""</f>
      </c>
    </row>
    <row r="155">
      <c r="A155" s="0" t="inlineStr">
        <is>
          <t xml:space="preserve">Professional fees</t>
        </is>
      </c>
      <c r="B155" s="0" t="inlineStr">
        <is>
          <t xml:space="preserve">United Kingdom</t>
        </is>
      </c>
      <c r="C155" s="0" t="inlineStr">
        <is>
          <t xml:space="preserve">Engineering</t>
        </is>
      </c>
      <c r="D155" s="12">
        <f>""</f>
      </c>
      <c r="E155" s="12">
        <f>""</f>
      </c>
      <c r="F155" s="12">
        <f>""</f>
      </c>
      <c r="G155" s="12">
        <f>""</f>
      </c>
      <c r="H155" s="12">
        <f>""</f>
      </c>
      <c r="I155" s="12">
        <f>""</f>
      </c>
      <c r="J155" s="12">
        <f>""</f>
      </c>
    </row>
    <row r="156">
      <c r="A156" s="0" t="inlineStr">
        <is>
          <t xml:space="preserve">Professional fees</t>
        </is>
      </c>
      <c r="B156" s="0" t="inlineStr">
        <is>
          <t xml:space="preserve">United Kingdom</t>
        </is>
      </c>
      <c r="C156" s="0" t="inlineStr">
        <is>
          <t xml:space="preserve">Customer success</t>
        </is>
      </c>
      <c r="D156" s="12">
        <f>""</f>
      </c>
      <c r="E156" s="12">
        <f>""</f>
      </c>
      <c r="F156" s="12">
        <f>""</f>
      </c>
      <c r="G156" s="12">
        <f>""</f>
      </c>
      <c r="H156" s="12">
        <f>""</f>
      </c>
      <c r="I156" s="12">
        <f>""</f>
      </c>
      <c r="J156" s="12">
        <f>""</f>
      </c>
    </row>
    <row r="157">
      <c r="A157" s="0" t="inlineStr">
        <is>
          <t xml:space="preserve">Professional fees</t>
        </is>
      </c>
      <c r="B157" s="0" t="inlineStr">
        <is>
          <t xml:space="preserve">United Kingdom</t>
        </is>
      </c>
      <c r="C157" s="0" t="inlineStr">
        <is>
          <t xml:space="preserve">G&amp;A</t>
        </is>
      </c>
      <c r="D157" s="12">
        <f>""</f>
      </c>
      <c r="E157" s="12">
        <f>""</f>
      </c>
      <c r="F157" s="12">
        <f>""</f>
      </c>
      <c r="G157" s="12">
        <f>""</f>
      </c>
      <c r="H157" s="12">
        <f>""</f>
      </c>
      <c r="I157" s="12">
        <f>""</f>
      </c>
      <c r="J157" s="12">
        <f>""</f>
      </c>
    </row>
    <row r="158">
      <c r="A158" s="0" t="inlineStr">
        <is>
          <t xml:space="preserve">Net</t>
        </is>
      </c>
      <c r="B158" s="0" t="inlineStr">
        <is>
          <t xml:space="preserve">United States</t>
        </is>
      </c>
      <c r="C158" s="0" t="inlineStr">
        <is>
          <t xml:space="preserve">Company (revenue and cost of revenue)</t>
        </is>
      </c>
      <c r="D158" s="12">
        <f>'Headcount plan'!K2</f>
      </c>
      <c r="E158" s="12">
        <f>""</f>
      </c>
      <c r="F158" s="12">
        <f>""</f>
      </c>
      <c r="G158" s="12">
        <f>'Headcount plan'!O2</f>
      </c>
      <c r="H158" s="12">
        <f>""</f>
      </c>
      <c r="I158" s="12">
        <f>""</f>
      </c>
      <c r="J158" s="12">
        <f>""</f>
      </c>
    </row>
    <row r="159">
      <c r="A159" s="0" t="inlineStr">
        <is>
          <t xml:space="preserve">Net</t>
        </is>
      </c>
      <c r="B159" s="0" t="inlineStr">
        <is>
          <t xml:space="preserve">United States</t>
        </is>
      </c>
      <c r="C159" s="0" t="inlineStr">
        <is>
          <t xml:space="preserve">Sales</t>
        </is>
      </c>
      <c r="D159" s="12">
        <f>'Headcount plan'!K3</f>
        <v>26</v>
      </c>
      <c r="E159" s="12">
        <f>""</f>
      </c>
      <c r="F159" s="12">
        <f>""</f>
      </c>
      <c r="G159" s="12">
        <f>'Headcount plan'!O3</f>
        <v>31</v>
      </c>
      <c r="H159" s="12">
        <f>""</f>
      </c>
      <c r="I159" s="12">
        <f>""</f>
      </c>
      <c r="J159" s="12">
        <f>""</f>
      </c>
    </row>
    <row r="160">
      <c r="A160" s="0" t="inlineStr">
        <is>
          <t xml:space="preserve">Net</t>
        </is>
      </c>
      <c r="B160" s="0" t="inlineStr">
        <is>
          <t xml:space="preserve">United States</t>
        </is>
      </c>
      <c r="C160" s="0" t="inlineStr">
        <is>
          <t xml:space="preserve">Marketing</t>
        </is>
      </c>
      <c r="D160" s="12">
        <f>'Headcount plan'!K4</f>
        <v>11</v>
      </c>
      <c r="E160" s="12">
        <f>""</f>
      </c>
      <c r="F160" s="12">
        <f>""</f>
      </c>
      <c r="G160" s="12">
        <f>'Headcount plan'!O4</f>
        <v>12</v>
      </c>
      <c r="H160" s="12">
        <f>""</f>
      </c>
      <c r="I160" s="12">
        <f>""</f>
      </c>
      <c r="J160" s="12">
        <f>""</f>
      </c>
    </row>
    <row r="161">
      <c r="A161" s="0" t="inlineStr">
        <is>
          <t xml:space="preserve">Net</t>
        </is>
      </c>
      <c r="B161" s="0" t="inlineStr">
        <is>
          <t xml:space="preserve">United States</t>
        </is>
      </c>
      <c r="C161" s="0" t="inlineStr">
        <is>
          <t xml:space="preserve">Engineering</t>
        </is>
      </c>
      <c r="D161" s="12">
        <f>'Headcount plan'!K5</f>
        <v>48</v>
      </c>
      <c r="E161" s="12">
        <f>""</f>
      </c>
      <c r="F161" s="12">
        <f>""</f>
      </c>
      <c r="G161" s="12">
        <f>'Headcount plan'!O5</f>
        <v>55</v>
      </c>
      <c r="H161" s="12">
        <f>""</f>
      </c>
      <c r="I161" s="12">
        <f>""</f>
      </c>
      <c r="J161" s="12">
        <f>""</f>
      </c>
    </row>
    <row r="162">
      <c r="A162" s="0" t="inlineStr">
        <is>
          <t xml:space="preserve">Net</t>
        </is>
      </c>
      <c r="B162" s="0" t="inlineStr">
        <is>
          <t xml:space="preserve">United States</t>
        </is>
      </c>
      <c r="C162" s="0" t="inlineStr">
        <is>
          <t xml:space="preserve">Customer success</t>
        </is>
      </c>
      <c r="D162" s="12">
        <f>'Headcount plan'!K6</f>
        <v>15</v>
      </c>
      <c r="E162" s="12">
        <f>""</f>
      </c>
      <c r="F162" s="12">
        <f>""</f>
      </c>
      <c r="G162" s="12">
        <f>'Headcount plan'!O6</f>
        <v>16</v>
      </c>
      <c r="H162" s="12">
        <f>""</f>
      </c>
      <c r="I162" s="12">
        <f>""</f>
      </c>
      <c r="J162" s="12">
        <f>""</f>
      </c>
    </row>
    <row r="163">
      <c r="A163" s="0" t="inlineStr">
        <is>
          <t xml:space="preserve">Net</t>
        </is>
      </c>
      <c r="B163" s="0" t="inlineStr">
        <is>
          <t xml:space="preserve">United States</t>
        </is>
      </c>
      <c r="C163" s="0" t="inlineStr">
        <is>
          <t xml:space="preserve">G&amp;A</t>
        </is>
      </c>
      <c r="D163" s="12">
        <f>'Headcount plan'!K7</f>
        <v>11</v>
      </c>
      <c r="E163" s="12">
        <f>""</f>
      </c>
      <c r="F163" s="12">
        <f>""</f>
      </c>
      <c r="G163" s="12">
        <f>'Headcount plan'!O7</f>
        <v>12</v>
      </c>
      <c r="H163" s="12">
        <f>""</f>
      </c>
      <c r="I163" s="12">
        <f>""</f>
      </c>
      <c r="J163" s="12">
        <f>""</f>
      </c>
    </row>
    <row r="164">
      <c r="A164" s="0" t="inlineStr">
        <is>
          <t xml:space="preserve">Net</t>
        </is>
      </c>
      <c r="B164" s="0" t="inlineStr">
        <is>
          <t xml:space="preserve">United Kingdom</t>
        </is>
      </c>
      <c r="C164" s="0" t="inlineStr">
        <is>
          <t xml:space="preserve">Company (revenue and cost of revenue)</t>
        </is>
      </c>
      <c r="D164" s="12">
        <f>'Headcount plan'!K8</f>
      </c>
      <c r="E164" s="12">
        <f>""</f>
      </c>
      <c r="F164" s="12">
        <f>""</f>
      </c>
      <c r="G164" s="12">
        <f>'Headcount plan'!O8</f>
      </c>
      <c r="H164" s="12">
        <f>""</f>
      </c>
      <c r="I164" s="12">
        <f>""</f>
      </c>
      <c r="J164" s="12">
        <f>""</f>
      </c>
    </row>
    <row r="165">
      <c r="A165" s="0" t="inlineStr">
        <is>
          <t xml:space="preserve">Net</t>
        </is>
      </c>
      <c r="B165" s="0" t="inlineStr">
        <is>
          <t xml:space="preserve">United Kingdom</t>
        </is>
      </c>
      <c r="C165" s="0" t="inlineStr">
        <is>
          <t xml:space="preserve">Sales</t>
        </is>
      </c>
      <c r="D165" s="12">
        <f>'Headcount plan'!K9</f>
        <v>9</v>
      </c>
      <c r="E165" s="12">
        <f>""</f>
      </c>
      <c r="F165" s="12">
        <f>""</f>
      </c>
      <c r="G165" s="12">
        <f>'Headcount plan'!O9</f>
        <v>12</v>
      </c>
      <c r="H165" s="12">
        <f>""</f>
      </c>
      <c r="I165" s="12">
        <f>""</f>
      </c>
      <c r="J165" s="12">
        <f>""</f>
      </c>
    </row>
    <row r="166">
      <c r="A166" s="0" t="inlineStr">
        <is>
          <t xml:space="preserve">Net</t>
        </is>
      </c>
      <c r="B166" s="0" t="inlineStr">
        <is>
          <t xml:space="preserve">United Kingdom</t>
        </is>
      </c>
      <c r="C166" s="0" t="inlineStr">
        <is>
          <t xml:space="preserve">Marketing</t>
        </is>
      </c>
      <c r="D166" s="12">
        <f>'Headcount plan'!K10</f>
        <v>6</v>
      </c>
      <c r="E166" s="12">
        <f>""</f>
      </c>
      <c r="F166" s="12">
        <f>""</f>
      </c>
      <c r="G166" s="12">
        <f>'Headcount plan'!O10</f>
        <v>6</v>
      </c>
      <c r="H166" s="12">
        <f>""</f>
      </c>
      <c r="I166" s="12">
        <f>""</f>
      </c>
      <c r="J166" s="12">
        <f>""</f>
      </c>
    </row>
    <row r="167">
      <c r="A167" s="0" t="inlineStr">
        <is>
          <t xml:space="preserve">Net</t>
        </is>
      </c>
      <c r="B167" s="0" t="inlineStr">
        <is>
          <t xml:space="preserve">United Kingdom</t>
        </is>
      </c>
      <c r="C167" s="0" t="inlineStr">
        <is>
          <t xml:space="preserve">Engineering</t>
        </is>
      </c>
      <c r="D167" s="12">
        <f>'Headcount plan'!K11</f>
        <v>21</v>
      </c>
      <c r="E167" s="12">
        <f>""</f>
      </c>
      <c r="F167" s="12">
        <f>""</f>
      </c>
      <c r="G167" s="12">
        <f>'Headcount plan'!O11</f>
        <v>26</v>
      </c>
      <c r="H167" s="12">
        <f>""</f>
      </c>
      <c r="I167" s="12">
        <f>""</f>
      </c>
      <c r="J167" s="12">
        <f>""</f>
      </c>
    </row>
    <row r="168">
      <c r="A168" s="0" t="inlineStr">
        <is>
          <t xml:space="preserve">Net</t>
        </is>
      </c>
      <c r="B168" s="0" t="inlineStr">
        <is>
          <t xml:space="preserve">United Kingdom</t>
        </is>
      </c>
      <c r="C168" s="0" t="inlineStr">
        <is>
          <t xml:space="preserve">Customer success</t>
        </is>
      </c>
      <c r="D168" s="12">
        <f>'Headcount plan'!K12</f>
        <v>6</v>
      </c>
      <c r="E168" s="12">
        <f>""</f>
      </c>
      <c r="F168" s="12">
        <f>""</f>
      </c>
      <c r="G168" s="12">
        <f>'Headcount plan'!O12</f>
        <v>6</v>
      </c>
      <c r="H168" s="12">
        <f>""</f>
      </c>
      <c r="I168" s="12">
        <f>""</f>
      </c>
      <c r="J168" s="12">
        <f>""</f>
      </c>
    </row>
    <row r="169">
      <c r="A169" s="0" t="inlineStr">
        <is>
          <t xml:space="preserve">Net</t>
        </is>
      </c>
      <c r="B169" s="0" t="inlineStr">
        <is>
          <t xml:space="preserve">United Kingdom</t>
        </is>
      </c>
      <c r="C169" s="0" t="inlineStr">
        <is>
          <t xml:space="preserve">G&amp;A</t>
        </is>
      </c>
      <c r="D169" s="12">
        <f>'Headcount plan'!K13</f>
        <v>4</v>
      </c>
      <c r="E169" s="12">
        <f>""</f>
      </c>
      <c r="F169" s="12">
        <f>""</f>
      </c>
      <c r="G169" s="12">
        <f>'Headcount plan'!O13</f>
        <v>5</v>
      </c>
      <c r="H169" s="12">
        <f>""</f>
      </c>
      <c r="I169" s="12">
        <f>""</f>
      </c>
      <c r="J169" s="12">
        <f>""</f>
      </c>
    </row>
  </sheetData>
</worksheet>
</file>

<file path=xl/worksheets/sheet12.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32" customWidth="1"/>
    <col min="2" max="2" width="12" customWidth="1"/>
    <col min="3" max="3" width="12" customWidth="1"/>
    <col min="4" max="4" width="12" customWidth="1"/>
    <col min="5" max="5" width="12" customWidth="1"/>
    <col min="6" max="6" width="12" customWidth="1"/>
    <col min="7" max="7" width="12" customWidth="1"/>
    <col min="8" max="8" width="12" customWidth="1"/>
  </cols>
  <sheetData>
    <row r="1">
      <c r="A1" s="1" t="inlineStr">
        <is>
          <t xml:space="preserve">line</t>
        </is>
      </c>
      <c r="B1" s="1" t="inlineStr">
        <is>
          <t xml:space="preserve">YTD actual</t>
        </is>
      </c>
      <c r="C1" s="1" t="inlineStr">
        <is>
          <t xml:space="preserve">YTD budget</t>
        </is>
      </c>
      <c r="D1" s="1" t="inlineStr">
        <is>
          <t xml:space="preserve">YTD variance</t>
        </is>
      </c>
      <c r="E1" s="1" t="inlineStr">
        <is>
          <t xml:space="preserve">FY outlook</t>
        </is>
      </c>
      <c r="F1" s="1" t="inlineStr">
        <is>
          <t xml:space="preserve">FY budget</t>
        </is>
      </c>
      <c r="G1" s="1" t="inlineStr">
        <is>
          <t xml:space="preserve">FY variance</t>
        </is>
      </c>
      <c r="H1" s="1" t="inlineStr">
        <is>
          <t xml:space="preserve">FY variance %</t>
        </is>
      </c>
    </row>
    <row r="2">
      <c r="A2" s="0" t="inlineStr">
        <is>
          <t xml:space="preserve">Revenue</t>
        </is>
      </c>
      <c r="B2" s="12">
        <f>SUM('Year to date and full year, by '!D2,'Year to date and full year, by '!D8)</f>
        <v>50093798</v>
      </c>
      <c r="C2" s="12">
        <f>SUM('Year to date and full year, by '!E2,'Year to date and full year, by '!E8)</f>
        <v>51108500</v>
      </c>
      <c r="D2" s="12">
        <f>SUM('Year to date and full year, by '!F2,'Year to date and full year, by '!F8)</f>
        <v>-1014702</v>
      </c>
      <c r="E2" s="12">
        <f>SUM('Year to date and full year, by '!G2,'Year to date and full year, by '!G8)</f>
        <v>77300426.86269057</v>
      </c>
      <c r="F2" s="12">
        <f>SUM('Year to date and full year, by '!H2,'Year to date and full year, by '!H8)</f>
        <v>81322000</v>
      </c>
      <c r="G2" s="12">
        <f>SUM('Year to date and full year, by '!I2,'Year to date and full year, by '!I8)</f>
        <v>-4021573.1373094358</v>
      </c>
      <c r="H2" s="12">
        <f>IFERROR((G2/ABS(F2)),"")</f>
        <v>-0.04945246227723661</v>
      </c>
    </row>
    <row r="3">
      <c r="A3" s="0" t="inlineStr">
        <is>
          <t xml:space="preserve">Cost of revenue</t>
        </is>
      </c>
      <c r="B3" s="12">
        <f>SUM('Year to date and full year, by '!D14,'Year to date and full year, by '!D20,'Year to date and full year, by '!D26,'Year to date and full year, by '!D32)</f>
        <v>-8497233</v>
      </c>
      <c r="C3" s="12">
        <f>SUM('Year to date and full year, by '!E14,'Year to date and full year, by '!E20,'Year to date and full year, by '!E26,'Year to date and full year, by '!E32)</f>
        <v>-8177300</v>
      </c>
      <c r="D3" s="12">
        <f>SUM('Year to date and full year, by '!F14,'Year to date and full year, by '!F20,'Year to date and full year, by '!F26,'Year to date and full year, by '!F32)</f>
        <v>-319933</v>
      </c>
      <c r="E3" s="12">
        <f>SUM('Year to date and full year, by '!G14,'Year to date and full year, by '!G20,'Year to date and full year, by '!G26,'Year to date and full year, by '!G32)</f>
        <v>-13095153.277794706</v>
      </c>
      <c r="F3" s="12">
        <f>SUM('Year to date and full year, by '!H14,'Year to date and full year, by '!H20,'Year to date and full year, by '!H26,'Year to date and full year, by '!H32)</f>
        <v>-13011400</v>
      </c>
      <c r="G3" s="12">
        <f>SUM('Year to date and full year, by '!I14,'Year to date and full year, by '!I20,'Year to date and full year, by '!I26,'Year to date and full year, by '!I32)</f>
        <v>-83753.27779470407</v>
      </c>
      <c r="H3" s="12">
        <f>IFERROR((G3/ABS(F3)),"")</f>
        <v>-0.006436915150921813</v>
      </c>
    </row>
    <row r="4">
      <c r="A4" s="0" t="inlineStr">
        <is>
          <t xml:space="preserve">Gross profit</t>
        </is>
      </c>
      <c r="B4" s="12">
        <f>(B2+B3)</f>
        <v>41596565</v>
      </c>
      <c r="C4" s="12">
        <f>(C2+C3)</f>
        <v>42931200</v>
      </c>
      <c r="D4" s="12">
        <f>(D2+D3)</f>
        <v>-1334635</v>
      </c>
      <c r="E4" s="12">
        <f>(E2+E3)</f>
        <v>64205273.584895864</v>
      </c>
      <c r="F4" s="12">
        <f>(F2+F3)</f>
        <v>68310600</v>
      </c>
      <c r="G4" s="12">
        <f>(G2+G3)</f>
        <v>-4105326.4151041396</v>
      </c>
      <c r="H4" s="12">
        <f>IFERROR((G4/ABS(F4)),"")</f>
        <v>-0.06009794109704994</v>
      </c>
    </row>
    <row r="5">
      <c r="A5" s="0" t="inlineStr">
        <is>
          <t xml:space="preserve">Gross margin</t>
        </is>
      </c>
      <c r="B5" s="12">
        <f>IFERROR((B4/B2),"")</f>
        <v>0.8303735524305823</v>
      </c>
      <c r="C5" s="12">
        <f>IFERROR((C4/C2),"")</f>
        <v>0.8400011739730182</v>
      </c>
      <c r="D5" s="12">
        <f>(B5-C5)</f>
        <v>-0.009627621542435905</v>
      </c>
      <c r="E5" s="12">
        <f>IFERROR((E4/E2),"")</f>
        <v>0.8305940366790504</v>
      </c>
      <c r="F5" s="12">
        <f>IFERROR((F4/F2),"")</f>
        <v>0.8400014756154546</v>
      </c>
      <c r="G5" s="12">
        <f>(E5-F5)</f>
        <v>-0.009407438936404167</v>
      </c>
      <c r="H5" s="12">
        <f>""</f>
      </c>
    </row>
    <row r="6">
      <c r="A6" s="0" t="inlineStr">
        <is>
          <t xml:space="preserve">Sales</t>
        </is>
      </c>
      <c r="B6" s="12">
        <f>SUM('Year to date and full year, by '!D3,'Year to date and full year, by '!D9,'Year to date and full year, by '!D15,'Year to date and full year, by '!D21,'Year to date and full year, by '!D27,'Year to date and full year, by '!D33,'Year to date and full year, by '!D39,'Year to date and full year, by '!D45,'Year to date and full year, by '!D51,'Year to date and full year, by '!D57,'Year to date and full year, by '!D63,'Year to date and full year, by '!D69,'Year to date and full year, by '!D75,'Year to date and full year, by '!D81,'Year to date and full year, by '!D87,'Year to date and full year, by '!D93,'Year to date and full year, by '!D99,'Year to date and full year, by '!D105,'Year to date and full year, by '!D111,'Year to date and full year, by '!D117,'Year to date and full year, by '!D123,'Year to date and full year, by '!D129,'Year to date and full year, by '!D135,'Year to date and full year, by '!D141,'Year to date and full year, by '!D147,'Year to date and full year, by '!D153)</f>
        <v>-7176944</v>
      </c>
      <c r="C6" s="12">
        <f>SUM('Year to date and full year, by '!E3,'Year to date and full year, by '!E9,'Year to date and full year, by '!E15,'Year to date and full year, by '!E21,'Year to date and full year, by '!E27,'Year to date and full year, by '!E33,'Year to date and full year, by '!E39,'Year to date and full year, by '!E45,'Year to date and full year, by '!E51,'Year to date and full year, by '!E57,'Year to date and full year, by '!E63,'Year to date and full year, by '!E69,'Year to date and full year, by '!E75,'Year to date and full year, by '!E81,'Year to date and full year, by '!E87,'Year to date and full year, by '!E93,'Year to date and full year, by '!E99,'Year to date and full year, by '!E105,'Year to date and full year, by '!E111,'Year to date and full year, by '!E117,'Year to date and full year, by '!E123,'Year to date and full year, by '!E129,'Year to date and full year, by '!E135,'Year to date and full year, by '!E141,'Year to date and full year, by '!E147,'Year to date and full year, by '!E153)</f>
        <v>-7238600</v>
      </c>
      <c r="D6" s="12">
        <f>SUM('Year to date and full year, by '!F3,'Year to date and full year, by '!F9,'Year to date and full year, by '!F15,'Year to date and full year, by '!F21,'Year to date and full year, by '!F27,'Year to date and full year, by '!F33,'Year to date and full year, by '!F39,'Year to date and full year, by '!F45,'Year to date and full year, by '!F51,'Year to date and full year, by '!F57,'Year to date and full year, by '!F63,'Year to date and full year, by '!F69,'Year to date and full year, by '!F75,'Year to date and full year, by '!F81,'Year to date and full year, by '!F87,'Year to date and full year, by '!F93,'Year to date and full year, by '!F99,'Year to date and full year, by '!F105,'Year to date and full year, by '!F111,'Year to date and full year, by '!F117,'Year to date and full year, by '!F123,'Year to date and full year, by '!F129,'Year to date and full year, by '!F135,'Year to date and full year, by '!F141,'Year to date and full year, by '!F147,'Year to date and full year, by '!F153)</f>
        <v>61656</v>
      </c>
      <c r="E6" s="12">
        <f>SUM('Year to date and full year, by '!G3,'Year to date and full year, by '!G9,'Year to date and full year, by '!G15,'Year to date and full year, by '!G21,'Year to date and full year, by '!G27,'Year to date and full year, by '!G33,'Year to date and full year, by '!G39,'Year to date and full year, by '!G45,'Year to date and full year, by '!G51,'Year to date and full year, by '!G57,'Year to date and full year, by '!G63,'Year to date and full year, by '!G69,'Year to date and full year, by '!G75,'Year to date and full year, by '!G81,'Year to date and full year, by '!G87,'Year to date and full year, by '!G93,'Year to date and full year, by '!G99,'Year to date and full year, by '!G105,'Year to date and full year, by '!G111,'Year to date and full year, by '!G117,'Year to date and full year, by '!G123,'Year to date and full year, by '!G129,'Year to date and full year, by '!G135,'Year to date and full year, by '!G141,'Year to date and full year, by '!G147,'Year to date and full year, by '!G153)</f>
        <v>-11420640.418336518</v>
      </c>
      <c r="F6" s="12">
        <f>SUM('Year to date and full year, by '!H3,'Year to date and full year, by '!H9,'Year to date and full year, by '!H15,'Year to date and full year, by '!H21,'Year to date and full year, by '!H27,'Year to date and full year, by '!H33,'Year to date and full year, by '!H39,'Year to date and full year, by '!H45,'Year to date and full year, by '!H51,'Year to date and full year, by '!H57,'Year to date and full year, by '!H63,'Year to date and full year, by '!H69,'Year to date and full year, by '!H75,'Year to date and full year, by '!H81,'Year to date and full year, by '!H87,'Year to date and full year, by '!H93,'Year to date and full year, by '!H99,'Year to date and full year, by '!H105,'Year to date and full year, by '!H111,'Year to date and full year, by '!H117,'Year to date and full year, by '!H123,'Year to date and full year, by '!H129,'Year to date and full year, by '!H135,'Year to date and full year, by '!H141,'Year to date and full year, by '!H147,'Year to date and full year, by '!H153)</f>
        <v>-11550500</v>
      </c>
      <c r="G6" s="12">
        <f>SUM('Year to date and full year, by '!I3,'Year to date and full year, by '!I9,'Year to date and full year, by '!I15,'Year to date and full year, by '!I21,'Year to date and full year, by '!I27,'Year to date and full year, by '!I33,'Year to date and full year, by '!I39,'Year to date and full year, by '!I45,'Year to date and full year, by '!I51,'Year to date and full year, by '!I57,'Year to date and full year, by '!I63,'Year to date and full year, by '!I69,'Year to date and full year, by '!I75,'Year to date and full year, by '!I81,'Year to date and full year, by '!I87,'Year to date and full year, by '!I93,'Year to date and full year, by '!I99,'Year to date and full year, by '!I105,'Year to date and full year, by '!I111,'Year to date and full year, by '!I117,'Year to date and full year, by '!I123,'Year to date and full year, by '!I129,'Year to date and full year, by '!I135,'Year to date and full year, by '!I141,'Year to date and full year, by '!I147,'Year to date and full year, by '!I153)</f>
        <v>129859.58166348003</v>
      </c>
      <c r="H6" s="12">
        <f>IFERROR((G6/ABS(F6)),"")</f>
        <v>0.011242767123802436</v>
      </c>
    </row>
    <row r="7">
      <c r="A7" s="0" t="inlineStr">
        <is>
          <t xml:space="preserve">Marketing</t>
        </is>
      </c>
      <c r="B7" s="12">
        <f>SUM('Year to date and full year, by '!D4,'Year to date and full year, by '!D10,'Year to date and full year, by '!D16,'Year to date and full year, by '!D22,'Year to date and full year, by '!D28,'Year to date and full year, by '!D34,'Year to date and full year, by '!D40,'Year to date and full year, by '!D46,'Year to date and full year, by '!D52,'Year to date and full year, by '!D58,'Year to date and full year, by '!D64,'Year to date and full year, by '!D70,'Year to date and full year, by '!D76,'Year to date and full year, by '!D82,'Year to date and full year, by '!D88,'Year to date and full year, by '!D94,'Year to date and full year, by '!D100,'Year to date and full year, by '!D106,'Year to date and full year, by '!D112,'Year to date and full year, by '!D118,'Year to date and full year, by '!D124,'Year to date and full year, by '!D130,'Year to date and full year, by '!D136,'Year to date and full year, by '!D142,'Year to date and full year, by '!D148,'Year to date and full year, by '!D154)</f>
        <v>-6046043</v>
      </c>
      <c r="C7" s="12">
        <f>SUM('Year to date and full year, by '!E4,'Year to date and full year, by '!E10,'Year to date and full year, by '!E16,'Year to date and full year, by '!E22,'Year to date and full year, by '!E28,'Year to date and full year, by '!E34,'Year to date and full year, by '!E40,'Year to date and full year, by '!E46,'Year to date and full year, by '!E52,'Year to date and full year, by '!E58,'Year to date and full year, by '!E64,'Year to date and full year, by '!E70,'Year to date and full year, by '!E76,'Year to date and full year, by '!E82,'Year to date and full year, by '!E88,'Year to date and full year, by '!E94,'Year to date and full year, by '!E100,'Year to date and full year, by '!E106,'Year to date and full year, by '!E112,'Year to date and full year, by '!E118,'Year to date and full year, by '!E124,'Year to date and full year, by '!E130,'Year to date and full year, by '!E136,'Year to date and full year, by '!E142,'Year to date and full year, by '!E148,'Year to date and full year, by '!E154)</f>
        <v>-5997300</v>
      </c>
      <c r="D7" s="12">
        <f>SUM('Year to date and full year, by '!F4,'Year to date and full year, by '!F10,'Year to date and full year, by '!F16,'Year to date and full year, by '!F22,'Year to date and full year, by '!F28,'Year to date and full year, by '!F34,'Year to date and full year, by '!F40,'Year to date and full year, by '!F46,'Year to date and full year, by '!F52,'Year to date and full year, by '!F58,'Year to date and full year, by '!F64,'Year to date and full year, by '!F70,'Year to date and full year, by '!F76,'Year to date and full year, by '!F82,'Year to date and full year, by '!F88,'Year to date and full year, by '!F94,'Year to date and full year, by '!F100,'Year to date and full year, by '!F106,'Year to date and full year, by '!F112,'Year to date and full year, by '!F118,'Year to date and full year, by '!F124,'Year to date and full year, by '!F130,'Year to date and full year, by '!F136,'Year to date and full year, by '!F142,'Year to date and full year, by '!F148,'Year to date and full year, by '!F154)</f>
        <v>-48743</v>
      </c>
      <c r="E7" s="12">
        <f>SUM('Year to date and full year, by '!G4,'Year to date and full year, by '!G10,'Year to date and full year, by '!G16,'Year to date and full year, by '!G22,'Year to date and full year, by '!G28,'Year to date and full year, by '!G34,'Year to date and full year, by '!G40,'Year to date and full year, by '!G46,'Year to date and full year, by '!G52,'Year to date and full year, by '!G58,'Year to date and full year, by '!G64,'Year to date and full year, by '!G70,'Year to date and full year, by '!G76,'Year to date and full year, by '!G82,'Year to date and full year, by '!G88,'Year to date and full year, by '!G94,'Year to date and full year, by '!G100,'Year to date and full year, by '!G106,'Year to date and full year, by '!G112,'Year to date and full year, by '!G118,'Year to date and full year, by '!G124,'Year to date and full year, by '!G130,'Year to date and full year, by '!G136,'Year to date and full year, by '!G142,'Year to date and full year, by '!G148,'Year to date and full year, by '!G154)</f>
        <v>-9407009.102098368</v>
      </c>
      <c r="F7" s="12">
        <f>SUM('Year to date and full year, by '!H4,'Year to date and full year, by '!H10,'Year to date and full year, by '!H16,'Year to date and full year, by '!H22,'Year to date and full year, by '!H28,'Year to date and full year, by '!H34,'Year to date and full year, by '!H40,'Year to date and full year, by '!H46,'Year to date and full year, by '!H52,'Year to date and full year, by '!H58,'Year to date and full year, by '!H64,'Year to date and full year, by '!H70,'Year to date and full year, by '!H76,'Year to date and full year, by '!H82,'Year to date and full year, by '!H88,'Year to date and full year, by '!H94,'Year to date and full year, by '!H100,'Year to date and full year, by '!H106,'Year to date and full year, by '!H112,'Year to date and full year, by '!H118,'Year to date and full year, by '!H124,'Year to date and full year, by '!H130,'Year to date and full year, by '!H136,'Year to date and full year, by '!H142,'Year to date and full year, by '!H148,'Year to date and full year, by '!H154)</f>
        <v>-9519100</v>
      </c>
      <c r="G7" s="12">
        <f>SUM('Year to date and full year, by '!I4,'Year to date and full year, by '!I10,'Year to date and full year, by '!I16,'Year to date and full year, by '!I22,'Year to date and full year, by '!I28,'Year to date and full year, by '!I34,'Year to date and full year, by '!I40,'Year to date and full year, by '!I46,'Year to date and full year, by '!I52,'Year to date and full year, by '!I58,'Year to date and full year, by '!I64,'Year to date and full year, by '!I70,'Year to date and full year, by '!I76,'Year to date and full year, by '!I82,'Year to date and full year, by '!I88,'Year to date and full year, by '!I94,'Year to date and full year, by '!I100,'Year to date and full year, by '!I106,'Year to date and full year, by '!I112,'Year to date and full year, by '!I118,'Year to date and full year, by '!I124,'Year to date and full year, by '!I130,'Year to date and full year, by '!I136,'Year to date and full year, by '!I142,'Year to date and full year, by '!I148,'Year to date and full year, by '!I154)</f>
        <v>112090.89790163143</v>
      </c>
      <c r="H7" s="12">
        <f>IFERROR((G7/ABS(F7)),"")</f>
        <v>0.011775367198751082</v>
      </c>
    </row>
    <row r="8">
      <c r="A8" s="0" t="inlineStr">
        <is>
          <t xml:space="preserve">Engineering</t>
        </is>
      </c>
      <c r="B8" s="12">
        <f>SUM('Year to date and full year, by '!D5,'Year to date and full year, by '!D11,'Year to date and full year, by '!D17,'Year to date and full year, by '!D23,'Year to date and full year, by '!D29,'Year to date and full year, by '!D35,'Year to date and full year, by '!D41,'Year to date and full year, by '!D47,'Year to date and full year, by '!D53,'Year to date and full year, by '!D59,'Year to date and full year, by '!D65,'Year to date and full year, by '!D71,'Year to date and full year, by '!D77,'Year to date and full year, by '!D83,'Year to date and full year, by '!D89,'Year to date and full year, by '!D95,'Year to date and full year, by '!D101,'Year to date and full year, by '!D107,'Year to date and full year, by '!D113,'Year to date and full year, by '!D119,'Year to date and full year, by '!D125,'Year to date and full year, by '!D131,'Year to date and full year, by '!D137,'Year to date and full year, by '!D143,'Year to date and full year, by '!D149,'Year to date and full year, by '!D155)</f>
        <v>-14550616</v>
      </c>
      <c r="C8" s="12">
        <f>SUM('Year to date and full year, by '!E5,'Year to date and full year, by '!E11,'Year to date and full year, by '!E17,'Year to date and full year, by '!E23,'Year to date and full year, by '!E29,'Year to date and full year, by '!E35,'Year to date and full year, by '!E41,'Year to date and full year, by '!E47,'Year to date and full year, by '!E53,'Year to date and full year, by '!E59,'Year to date and full year, by '!E65,'Year to date and full year, by '!E71,'Year to date and full year, by '!E77,'Year to date and full year, by '!E83,'Year to date and full year, by '!E89,'Year to date and full year, by '!E95,'Year to date and full year, by '!E101,'Year to date and full year, by '!E107,'Year to date and full year, by '!E113,'Year to date and full year, by '!E119,'Year to date and full year, by '!E125,'Year to date and full year, by '!E131,'Year to date and full year, by '!E137,'Year to date and full year, by '!E143,'Year to date and full year, by '!E149,'Year to date and full year, by '!E155)</f>
        <v>-14196200</v>
      </c>
      <c r="D8" s="12">
        <f>SUM('Year to date and full year, by '!F5,'Year to date and full year, by '!F11,'Year to date and full year, by '!F17,'Year to date and full year, by '!F23,'Year to date and full year, by '!F29,'Year to date and full year, by '!F35,'Year to date and full year, by '!F41,'Year to date and full year, by '!F47,'Year to date and full year, by '!F53,'Year to date and full year, by '!F59,'Year to date and full year, by '!F65,'Year to date and full year, by '!F71,'Year to date and full year, by '!F77,'Year to date and full year, by '!F83,'Year to date and full year, by '!F89,'Year to date and full year, by '!F95,'Year to date and full year, by '!F101,'Year to date and full year, by '!F107,'Year to date and full year, by '!F113,'Year to date and full year, by '!F119,'Year to date and full year, by '!F125,'Year to date and full year, by '!F131,'Year to date and full year, by '!F137,'Year to date and full year, by '!F143,'Year to date and full year, by '!F149,'Year to date and full year, by '!F155)</f>
        <v>-354416</v>
      </c>
      <c r="E8" s="12">
        <f>SUM('Year to date and full year, by '!G5,'Year to date and full year, by '!G11,'Year to date and full year, by '!G17,'Year to date and full year, by '!G23,'Year to date and full year, by '!G29,'Year to date and full year, by '!G35,'Year to date and full year, by '!G41,'Year to date and full year, by '!G47,'Year to date and full year, by '!G53,'Year to date and full year, by '!G59,'Year to date and full year, by '!G65,'Year to date and full year, by '!G71,'Year to date and full year, by '!G77,'Year to date and full year, by '!G83,'Year to date and full year, by '!G89,'Year to date and full year, by '!G95,'Year to date and full year, by '!G101,'Year to date and full year, by '!G107,'Year to date and full year, by '!G113,'Year to date and full year, by '!G119,'Year to date and full year, by '!G125,'Year to date and full year, by '!G131,'Year to date and full year, by '!G137,'Year to date and full year, by '!G143,'Year to date and full year, by '!G149,'Year to date and full year, by '!G155)</f>
        <v>-23242687.03607507</v>
      </c>
      <c r="F8" s="12">
        <f>SUM('Year to date and full year, by '!H5,'Year to date and full year, by '!H11,'Year to date and full year, by '!H17,'Year to date and full year, by '!H23,'Year to date and full year, by '!H29,'Year to date and full year, by '!H35,'Year to date and full year, by '!H41,'Year to date and full year, by '!H47,'Year to date and full year, by '!H53,'Year to date and full year, by '!H59,'Year to date and full year, by '!H65,'Year to date and full year, by '!H71,'Year to date and full year, by '!H77,'Year to date and full year, by '!H83,'Year to date and full year, by '!H89,'Year to date and full year, by '!H95,'Year to date and full year, by '!H101,'Year to date and full year, by '!H107,'Year to date and full year, by '!H113,'Year to date and full year, by '!H119,'Year to date and full year, by '!H125,'Year to date and full year, by '!H131,'Year to date and full year, by '!H137,'Year to date and full year, by '!H143,'Year to date and full year, by '!H149,'Year to date and full year, by '!H155)</f>
        <v>-22713100</v>
      </c>
      <c r="G8" s="12">
        <f>SUM('Year to date and full year, by '!I5,'Year to date and full year, by '!I11,'Year to date and full year, by '!I17,'Year to date and full year, by '!I23,'Year to date and full year, by '!I29,'Year to date and full year, by '!I35,'Year to date and full year, by '!I41,'Year to date and full year, by '!I47,'Year to date and full year, by '!I53,'Year to date and full year, by '!I59,'Year to date and full year, by '!I65,'Year to date and full year, by '!I71,'Year to date and full year, by '!I77,'Year to date and full year, by '!I83,'Year to date and full year, by '!I89,'Year to date and full year, by '!I95,'Year to date and full year, by '!I101,'Year to date and full year, by '!I107,'Year to date and full year, by '!I113,'Year to date and full year, by '!I119,'Year to date and full year, by '!I125,'Year to date and full year, by '!I131,'Year to date and full year, by '!I137,'Year to date and full year, by '!I143,'Year to date and full year, by '!I149,'Year to date and full year, by '!I155)</f>
        <v>-529587.0360750712</v>
      </c>
      <c r="H8" s="12">
        <f>IFERROR((G8/ABS(F8)),"")</f>
        <v>-0.023316369675432734</v>
      </c>
    </row>
    <row r="9">
      <c r="A9" s="0" t="inlineStr">
        <is>
          <t xml:space="preserve">Customer success</t>
        </is>
      </c>
      <c r="B9" s="12">
        <f>SUM('Year to date and full year, by '!D6,'Year to date and full year, by '!D12,'Year to date and full year, by '!D18,'Year to date and full year, by '!D24,'Year to date and full year, by '!D30,'Year to date and full year, by '!D36,'Year to date and full year, by '!D42,'Year to date and full year, by '!D48,'Year to date and full year, by '!D54,'Year to date and full year, by '!D60,'Year to date and full year, by '!D66,'Year to date and full year, by '!D72,'Year to date and full year, by '!D78,'Year to date and full year, by '!D84,'Year to date and full year, by '!D90,'Year to date and full year, by '!D96,'Year to date and full year, by '!D102,'Year to date and full year, by '!D108,'Year to date and full year, by '!D114,'Year to date and full year, by '!D120,'Year to date and full year, by '!D126,'Year to date and full year, by '!D132,'Year to date and full year, by '!D138,'Year to date and full year, by '!D144,'Year to date and full year, by '!D150,'Year to date and full year, by '!D156)</f>
        <v>-1765931</v>
      </c>
      <c r="C9" s="12">
        <f>SUM('Year to date and full year, by '!E6,'Year to date and full year, by '!E12,'Year to date and full year, by '!E18,'Year to date and full year, by '!E24,'Year to date and full year, by '!E30,'Year to date and full year, by '!E36,'Year to date and full year, by '!E42,'Year to date and full year, by '!E48,'Year to date and full year, by '!E54,'Year to date and full year, by '!E60,'Year to date and full year, by '!E66,'Year to date and full year, by '!E72,'Year to date and full year, by '!E78,'Year to date and full year, by '!E84,'Year to date and full year, by '!E90,'Year to date and full year, by '!E96,'Year to date and full year, by '!E102,'Year to date and full year, by '!E108,'Year to date and full year, by '!E114,'Year to date and full year, by '!E120,'Year to date and full year, by '!E126,'Year to date and full year, by '!E132,'Year to date and full year, by '!E138,'Year to date and full year, by '!E144,'Year to date and full year, by '!E150,'Year to date and full year, by '!E156)</f>
        <v>-1739600</v>
      </c>
      <c r="D9" s="12">
        <f>SUM('Year to date and full year, by '!F6,'Year to date and full year, by '!F12,'Year to date and full year, by '!F18,'Year to date and full year, by '!F24,'Year to date and full year, by '!F30,'Year to date and full year, by '!F36,'Year to date and full year, by '!F42,'Year to date and full year, by '!F48,'Year to date and full year, by '!F54,'Year to date and full year, by '!F60,'Year to date and full year, by '!F66,'Year to date and full year, by '!F72,'Year to date and full year, by '!F78,'Year to date and full year, by '!F84,'Year to date and full year, by '!F90,'Year to date and full year, by '!F96,'Year to date and full year, by '!F102,'Year to date and full year, by '!F108,'Year to date and full year, by '!F114,'Year to date and full year, by '!F120,'Year to date and full year, by '!F126,'Year to date and full year, by '!F132,'Year to date and full year, by '!F138,'Year to date and full year, by '!F144,'Year to date and full year, by '!F150,'Year to date and full year, by '!F156)</f>
        <v>-26331</v>
      </c>
      <c r="E9" s="12">
        <f>SUM('Year to date and full year, by '!G6,'Year to date and full year, by '!G12,'Year to date and full year, by '!G18,'Year to date and full year, by '!G24,'Year to date and full year, by '!G30,'Year to date and full year, by '!G36,'Year to date and full year, by '!G42,'Year to date and full year, by '!G48,'Year to date and full year, by '!G54,'Year to date and full year, by '!G60,'Year to date and full year, by '!G66,'Year to date and full year, by '!G72,'Year to date and full year, by '!G78,'Year to date and full year, by '!G84,'Year to date and full year, by '!G90,'Year to date and full year, by '!G96,'Year to date and full year, by '!G102,'Year to date and full year, by '!G108,'Year to date and full year, by '!G114,'Year to date and full year, by '!G120,'Year to date and full year, by '!G126,'Year to date and full year, by '!G132,'Year to date and full year, by '!G138,'Year to date and full year, by '!G144,'Year to date and full year, by '!G150,'Year to date and full year, by '!G156)</f>
        <v>-2758987.548254185</v>
      </c>
      <c r="F9" s="12">
        <f>SUM('Year to date and full year, by '!H6,'Year to date and full year, by '!H12,'Year to date and full year, by '!H18,'Year to date and full year, by '!H24,'Year to date and full year, by '!H30,'Year to date and full year, by '!H36,'Year to date and full year, by '!H42,'Year to date and full year, by '!H48,'Year to date and full year, by '!H54,'Year to date and full year, by '!H60,'Year to date and full year, by '!H66,'Year to date and full year, by '!H72,'Year to date and full year, by '!H78,'Year to date and full year, by '!H84,'Year to date and full year, by '!H90,'Year to date and full year, by '!H96,'Year to date and full year, by '!H102,'Year to date and full year, by '!H108,'Year to date and full year, by '!H114,'Year to date and full year, by '!H120,'Year to date and full year, by '!H126,'Year to date and full year, by '!H132,'Year to date and full year, by '!H138,'Year to date and full year, by '!H144,'Year to date and full year, by '!H150,'Year to date and full year, by '!H156)</f>
        <v>-2729700</v>
      </c>
      <c r="G9" s="12">
        <f>SUM('Year to date and full year, by '!I6,'Year to date and full year, by '!I12,'Year to date and full year, by '!I18,'Year to date and full year, by '!I24,'Year to date and full year, by '!I30,'Year to date and full year, by '!I36,'Year to date and full year, by '!I42,'Year to date and full year, by '!I48,'Year to date and full year, by '!I54,'Year to date and full year, by '!I60,'Year to date and full year, by '!I66,'Year to date and full year, by '!I72,'Year to date and full year, by '!I78,'Year to date and full year, by '!I84,'Year to date and full year, by '!I90,'Year to date and full year, by '!I96,'Year to date and full year, by '!I102,'Year to date and full year, by '!I108,'Year to date and full year, by '!I114,'Year to date and full year, by '!I120,'Year to date and full year, by '!I126,'Year to date and full year, by '!I132,'Year to date and full year, by '!I138,'Year to date and full year, by '!I144,'Year to date and full year, by '!I150,'Year to date and full year, by '!I156)</f>
        <v>-29287.548254184912</v>
      </c>
      <c r="H9" s="12">
        <f>IFERROR((G9/ABS(F9)),"")</f>
        <v>-0.010729218688568309</v>
      </c>
    </row>
    <row r="10">
      <c r="A10" s="0" t="inlineStr">
        <is>
          <t xml:space="preserve">G&amp;A</t>
        </is>
      </c>
      <c r="B10" s="12">
        <f>SUM('Year to date and full year, by '!D7,'Year to date and full year, by '!D13,'Year to date and full year, by '!D19,'Year to date and full year, by '!D25,'Year to date and full year, by '!D31,'Year to date and full year, by '!D37,'Year to date and full year, by '!D43,'Year to date and full year, by '!D49,'Year to date and full year, by '!D55,'Year to date and full year, by '!D61,'Year to date and full year, by '!D67,'Year to date and full year, by '!D73,'Year to date and full year, by '!D79,'Year to date and full year, by '!D85,'Year to date and full year, by '!D91,'Year to date and full year, by '!D97,'Year to date and full year, by '!D103,'Year to date and full year, by '!D109,'Year to date and full year, by '!D115,'Year to date and full year, by '!D121,'Year to date and full year, by '!D127,'Year to date and full year, by '!D133,'Year to date and full year, by '!D139,'Year to date and full year, by '!D145,'Year to date and full year, by '!D151,'Year to date and full year, by '!D157)</f>
        <v>-3321804</v>
      </c>
      <c r="C10" s="12">
        <f>SUM('Year to date and full year, by '!E7,'Year to date and full year, by '!E13,'Year to date and full year, by '!E19,'Year to date and full year, by '!E25,'Year to date and full year, by '!E31,'Year to date and full year, by '!E37,'Year to date and full year, by '!E43,'Year to date and full year, by '!E49,'Year to date and full year, by '!E55,'Year to date and full year, by '!E61,'Year to date and full year, by '!E67,'Year to date and full year, by '!E73,'Year to date and full year, by '!E79,'Year to date and full year, by '!E85,'Year to date and full year, by '!E91,'Year to date and full year, by '!E97,'Year to date and full year, by '!E103,'Year to date and full year, by '!E109,'Year to date and full year, by '!E115,'Year to date and full year, by '!E121,'Year to date and full year, by '!E127,'Year to date and full year, by '!E133,'Year to date and full year, by '!E139,'Year to date and full year, by '!E145,'Year to date and full year, by '!E151,'Year to date and full year, by '!E157)</f>
        <v>-3298300</v>
      </c>
      <c r="D10" s="12">
        <f>SUM('Year to date and full year, by '!F7,'Year to date and full year, by '!F13,'Year to date and full year, by '!F19,'Year to date and full year, by '!F25,'Year to date and full year, by '!F31,'Year to date and full year, by '!F37,'Year to date and full year, by '!F43,'Year to date and full year, by '!F49,'Year to date and full year, by '!F55,'Year to date and full year, by '!F61,'Year to date and full year, by '!F67,'Year to date and full year, by '!F73,'Year to date and full year, by '!F79,'Year to date and full year, by '!F85,'Year to date and full year, by '!F91,'Year to date and full year, by '!F97,'Year to date and full year, by '!F103,'Year to date and full year, by '!F109,'Year to date and full year, by '!F115,'Year to date and full year, by '!F121,'Year to date and full year, by '!F127,'Year to date and full year, by '!F133,'Year to date and full year, by '!F139,'Year to date and full year, by '!F145,'Year to date and full year, by '!F151,'Year to date and full year, by '!F157)</f>
        <v>-23504</v>
      </c>
      <c r="E10" s="12">
        <f>SUM('Year to date and full year, by '!G7,'Year to date and full year, by '!G13,'Year to date and full year, by '!G19,'Year to date and full year, by '!G25,'Year to date and full year, by '!G31,'Year to date and full year, by '!G37,'Year to date and full year, by '!G43,'Year to date and full year, by '!G49,'Year to date and full year, by '!G55,'Year to date and full year, by '!G61,'Year to date and full year, by '!G67,'Year to date and full year, by '!G73,'Year to date and full year, by '!G79,'Year to date and full year, by '!G85,'Year to date and full year, by '!G91,'Year to date and full year, by '!G97,'Year to date and full year, by '!G103,'Year to date and full year, by '!G109,'Year to date and full year, by '!G115,'Year to date and full year, by '!G121,'Year to date and full year, by '!G127,'Year to date and full year, by '!G133,'Year to date and full year, by '!G139,'Year to date and full year, by '!G145,'Year to date and full year, by '!G151,'Year to date and full year, by '!G157)</f>
        <v>-5127986.840876493</v>
      </c>
      <c r="F10" s="12">
        <f>SUM('Year to date and full year, by '!H7,'Year to date and full year, by '!H13,'Year to date and full year, by '!H19,'Year to date and full year, by '!H25,'Year to date and full year, by '!H31,'Year to date and full year, by '!H37,'Year to date and full year, by '!H43,'Year to date and full year, by '!H49,'Year to date and full year, by '!H55,'Year to date and full year, by '!H61,'Year to date and full year, by '!H67,'Year to date and full year, by '!H73,'Year to date and full year, by '!H79,'Year to date and full year, by '!H85,'Year to date and full year, by '!H91,'Year to date and full year, by '!H97,'Year to date and full year, by '!H103,'Year to date and full year, by '!H109,'Year to date and full year, by '!H115,'Year to date and full year, by '!H121,'Year to date and full year, by '!H127,'Year to date and full year, by '!H133,'Year to date and full year, by '!H139,'Year to date and full year, by '!H145,'Year to date and full year, by '!H151,'Year to date and full year, by '!H157)</f>
        <v>-5101500</v>
      </c>
      <c r="G10" s="12">
        <f>SUM('Year to date and full year, by '!I7,'Year to date and full year, by '!I13,'Year to date and full year, by '!I19,'Year to date and full year, by '!I25,'Year to date and full year, by '!I31,'Year to date and full year, by '!I37,'Year to date and full year, by '!I43,'Year to date and full year, by '!I49,'Year to date and full year, by '!I55,'Year to date and full year, by '!I61,'Year to date and full year, by '!I67,'Year to date and full year, by '!I73,'Year to date and full year, by '!I79,'Year to date and full year, by '!I85,'Year to date and full year, by '!I91,'Year to date and full year, by '!I97,'Year to date and full year, by '!I103,'Year to date and full year, by '!I109,'Year to date and full year, by '!I115,'Year to date and full year, by '!I121,'Year to date and full year, by '!I127,'Year to date and full year, by '!I133,'Year to date and full year, by '!I139,'Year to date and full year, by '!I145,'Year to date and full year, by '!I151,'Year to date and full year, by '!I157)</f>
        <v>-26486.840876492628</v>
      </c>
      <c r="H10" s="12">
        <f>IFERROR((G10/ABS(F10)),"")</f>
        <v>-0.005191971160735593</v>
      </c>
    </row>
    <row r="11">
      <c r="A11" s="0" t="inlineStr">
        <is>
          <t xml:space="preserve">Total operating expenses</t>
        </is>
      </c>
      <c r="B11" s="12">
        <f>((((B6+B7)+B8)+B9)+B10)</f>
        <v>-32861338</v>
      </c>
      <c r="C11" s="12">
        <f>((((C6+C7)+C8)+C9)+C10)</f>
        <v>-32470000</v>
      </c>
      <c r="D11" s="12">
        <f>((((D6+D7)+D8)+D9)+D10)</f>
        <v>-391338</v>
      </c>
      <c r="E11" s="12">
        <f>((((E6+E7)+E8)+E9)+E10)</f>
        <v>-51957310.94564063</v>
      </c>
      <c r="F11" s="12">
        <f>((((F6+F7)+F8)+F9)+F10)</f>
        <v>-51613900</v>
      </c>
      <c r="G11" s="12">
        <f>((((G6+G7)+G8)+G9)+G10)</f>
        <v>-343410.94564063725</v>
      </c>
      <c r="H11" s="12">
        <f>IFERROR((G11/ABS(F11)),"")</f>
        <v>-0.006653458576868581</v>
      </c>
    </row>
    <row r="12">
      <c r="A12" s="0" t="inlineStr">
        <is>
          <t xml:space="preserve">EBITDA</t>
        </is>
      </c>
      <c r="B12" s="12">
        <f>(B4+B11)</f>
        <v>8735227</v>
      </c>
      <c r="C12" s="12">
        <f>(C4+C11)</f>
        <v>10461200</v>
      </c>
      <c r="D12" s="12">
        <f>(D4+D11)</f>
        <v>-1725973</v>
      </c>
      <c r="E12" s="12">
        <f>(E4+E11)</f>
        <v>12247962.639255233</v>
      </c>
      <c r="F12" s="12">
        <f>(F4+F11)</f>
        <v>16696700</v>
      </c>
      <c r="G12" s="12">
        <f>(G4+G11)</f>
        <v>-4448737.360744777</v>
      </c>
      <c r="H12" s="12">
        <f>IFERROR((G12/ABS(F12)),"")</f>
        <v>-0.2664441093596206</v>
      </c>
    </row>
    <row r="13">
      <c r="A13" s="0" t="inlineStr">
        <is>
          <t xml:space="preserve">EBITDA margin</t>
        </is>
      </c>
      <c r="B13" s="12">
        <f>IFERROR((B12/B2),"")</f>
        <v>0.1743774149446604</v>
      </c>
      <c r="C13" s="12">
        <f>IFERROR((C12/C2),"")</f>
        <v>0.20468610896426231</v>
      </c>
      <c r="D13" s="12">
        <f>(B13-C13)</f>
        <v>-0.0303086940196019</v>
      </c>
      <c r="E13" s="12">
        <f>IFERROR((E12/E2),"")</f>
        <v>0.15844624844066382</v>
      </c>
      <c r="F13" s="12">
        <f>IFERROR((F12/F2),"")</f>
        <v>0.20531590467524163</v>
      </c>
      <c r="G13" s="12">
        <f>(E13-F13)</f>
        <v>-0.04686965623457781</v>
      </c>
      <c r="H13" s="12">
        <f>""</f>
      </c>
    </row>
    <row r="14">
      <c r="A14" s="0" t="inlineStr">
        <is>
          <t xml:space="preserve">Headcount (period end)</t>
        </is>
      </c>
      <c r="B14" s="12">
        <f>SUM('Year to date and full year, (2)'!D2:D169)</f>
        <v>157</v>
      </c>
      <c r="C14" s="12">
        <f>""</f>
      </c>
      <c r="D14" s="12">
        <f>""</f>
      </c>
      <c r="E14" s="12">
        <f>SUM('Year to date and full year, (2)'!G2:G169)</f>
        <v>181</v>
      </c>
      <c r="F14" s="12">
        <f>""</f>
      </c>
      <c r="G14" s="12">
        <f>""</f>
      </c>
      <c r="H14" s="12">
        <f>""</f>
      </c>
    </row>
  </sheetData>
</worksheet>
</file>

<file path=xl/worksheets/sheet13.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 min="4" max="4" width="14" customWidth="1"/>
    <col min="5" max="5" width="14" customWidth="1"/>
    <col min="6" max="6" width="14" customWidth="1"/>
    <col min="7" max="7" width="14" customWidth="1"/>
    <col min="8" max="8" width="14" customWidth="1"/>
  </cols>
  <sheetData>
    <row r="1">
      <c r="A1" s="1" t="inlineStr">
        <is>
          <t xml:space="preserve">ID</t>
        </is>
      </c>
      <c r="B1" s="1" t="inlineStr">
        <is>
          <t xml:space="preserve">Name</t>
        </is>
      </c>
      <c r="C1" s="1" t="inlineStr">
        <is>
          <t xml:space="preserve">Start</t>
        </is>
      </c>
      <c r="D1" s="1" t="inlineStr">
        <is>
          <t xml:space="preserve">End</t>
        </is>
      </c>
      <c r="E1" s="1" t="inlineStr">
        <is>
          <t xml:space="preserve">Frame</t>
        </is>
      </c>
      <c r="F1" s="1" t="inlineStr">
        <is>
          <t xml:space="preserve">Year</t>
        </is>
      </c>
      <c r="G1" s="1" t="inlineStr">
        <is>
          <t xml:space="preserve">Quarter</t>
        </is>
      </c>
      <c r="H1" s="1" t="inlineStr">
        <is>
          <t xml:space="preserve">Index</t>
        </is>
      </c>
    </row>
    <row r="2">
      <c r="A2" s="0" t="inlineStr">
        <is>
          <t xml:space="preserve">jan26</t>
        </is>
      </c>
      <c r="B2" s="0" t="inlineStr">
        <is>
          <t xml:space="preserve">Jan-26</t>
        </is>
      </c>
      <c r="C2" s="16">
        <v>46023</v>
      </c>
      <c r="D2" s="16">
        <v>46053</v>
      </c>
      <c r="E2" s="0" t="inlineStr">
        <is>
          <t xml:space="preserve">hist</t>
        </is>
      </c>
      <c r="F2" s="4">
        <v>2026</v>
      </c>
      <c r="G2" s="0" t="inlineStr">
        <is>
          <t xml:space="preserve">Q1 2026</t>
        </is>
      </c>
      <c r="H2" s="4">
        <v>0</v>
      </c>
    </row>
    <row r="3">
      <c r="A3" s="0" t="inlineStr">
        <is>
          <t xml:space="preserve">feb26</t>
        </is>
      </c>
      <c r="B3" s="0" t="inlineStr">
        <is>
          <t xml:space="preserve">Feb-26</t>
        </is>
      </c>
      <c r="C3" s="16">
        <v>46054</v>
      </c>
      <c r="D3" s="16">
        <v>46081</v>
      </c>
      <c r="E3" s="0" t="inlineStr">
        <is>
          <t xml:space="preserve">hist</t>
        </is>
      </c>
      <c r="F3" s="4">
        <v>2026</v>
      </c>
      <c r="G3" s="0" t="inlineStr">
        <is>
          <t xml:space="preserve">Q1 2026</t>
        </is>
      </c>
      <c r="H3" s="4">
        <v>1</v>
      </c>
    </row>
    <row r="4">
      <c r="A4" s="0" t="inlineStr">
        <is>
          <t xml:space="preserve">mar26</t>
        </is>
      </c>
      <c r="B4" s="0" t="inlineStr">
        <is>
          <t xml:space="preserve">Mar-26</t>
        </is>
      </c>
      <c r="C4" s="16">
        <v>46082</v>
      </c>
      <c r="D4" s="16">
        <v>46112</v>
      </c>
      <c r="E4" s="0" t="inlineStr">
        <is>
          <t xml:space="preserve">hist</t>
        </is>
      </c>
      <c r="F4" s="4">
        <v>2026</v>
      </c>
      <c r="G4" s="0" t="inlineStr">
        <is>
          <t xml:space="preserve">Q1 2026</t>
        </is>
      </c>
      <c r="H4" s="4">
        <v>2</v>
      </c>
    </row>
    <row r="5">
      <c r="A5" s="0" t="inlineStr">
        <is>
          <t xml:space="preserve">apr26</t>
        </is>
      </c>
      <c r="B5" s="0" t="inlineStr">
        <is>
          <t xml:space="preserve">Apr-26</t>
        </is>
      </c>
      <c r="C5" s="16">
        <v>46113</v>
      </c>
      <c r="D5" s="16">
        <v>46142</v>
      </c>
      <c r="E5" s="0" t="inlineStr">
        <is>
          <t xml:space="preserve">hist</t>
        </is>
      </c>
      <c r="F5" s="4">
        <v>2026</v>
      </c>
      <c r="G5" s="0" t="inlineStr">
        <is>
          <t xml:space="preserve">Q2 2026</t>
        </is>
      </c>
      <c r="H5" s="4">
        <v>3</v>
      </c>
    </row>
    <row r="6">
      <c r="A6" s="0" t="inlineStr">
        <is>
          <t xml:space="preserve">may26</t>
        </is>
      </c>
      <c r="B6" s="0" t="inlineStr">
        <is>
          <t xml:space="preserve">May-26</t>
        </is>
      </c>
      <c r="C6" s="16">
        <v>46143</v>
      </c>
      <c r="D6" s="16">
        <v>46173</v>
      </c>
      <c r="E6" s="0" t="inlineStr">
        <is>
          <t xml:space="preserve">hist</t>
        </is>
      </c>
      <c r="F6" s="4">
        <v>2026</v>
      </c>
      <c r="G6" s="0" t="inlineStr">
        <is>
          <t xml:space="preserve">Q2 2026</t>
        </is>
      </c>
      <c r="H6" s="4">
        <v>4</v>
      </c>
    </row>
    <row r="7">
      <c r="A7" s="0" t="inlineStr">
        <is>
          <t xml:space="preserve">jun26</t>
        </is>
      </c>
      <c r="B7" s="0" t="inlineStr">
        <is>
          <t xml:space="preserve">Jun-26</t>
        </is>
      </c>
      <c r="C7" s="16">
        <v>46174</v>
      </c>
      <c r="D7" s="16">
        <v>46203</v>
      </c>
      <c r="E7" s="0" t="inlineStr">
        <is>
          <t xml:space="preserve">hist</t>
        </is>
      </c>
      <c r="F7" s="4">
        <v>2026</v>
      </c>
      <c r="G7" s="0" t="inlineStr">
        <is>
          <t xml:space="preserve">Q2 2026</t>
        </is>
      </c>
      <c r="H7" s="4">
        <v>5</v>
      </c>
    </row>
    <row r="8">
      <c r="A8" s="0" t="inlineStr">
        <is>
          <t xml:space="preserve">jul26</t>
        </is>
      </c>
      <c r="B8" s="0" t="inlineStr">
        <is>
          <t xml:space="preserve">Jul-26</t>
        </is>
      </c>
      <c r="C8" s="16">
        <v>46204</v>
      </c>
      <c r="D8" s="16">
        <v>46234</v>
      </c>
      <c r="E8" s="0" t="inlineStr">
        <is>
          <t xml:space="preserve">hist</t>
        </is>
      </c>
      <c r="F8" s="4">
        <v>2026</v>
      </c>
      <c r="G8" s="0" t="inlineStr">
        <is>
          <t xml:space="preserve">Q3 2026</t>
        </is>
      </c>
      <c r="H8" s="4">
        <v>6</v>
      </c>
    </row>
    <row r="9">
      <c r="A9" s="0" t="inlineStr">
        <is>
          <t xml:space="preserve">aug26</t>
        </is>
      </c>
      <c r="B9" s="0" t="inlineStr">
        <is>
          <t xml:space="preserve">Aug-26</t>
        </is>
      </c>
      <c r="C9" s="16">
        <v>46235</v>
      </c>
      <c r="D9" s="16">
        <v>46265</v>
      </c>
      <c r="E9" s="0" t="inlineStr">
        <is>
          <t xml:space="preserve">hist</t>
        </is>
      </c>
      <c r="F9" s="4">
        <v>2026</v>
      </c>
      <c r="G9" s="0" t="inlineStr">
        <is>
          <t xml:space="preserve">Q3 2026</t>
        </is>
      </c>
      <c r="H9" s="4">
        <v>7</v>
      </c>
    </row>
    <row r="10">
      <c r="A10" s="0" t="inlineStr">
        <is>
          <t xml:space="preserve">sep26</t>
        </is>
      </c>
      <c r="B10" s="0" t="inlineStr">
        <is>
          <t xml:space="preserve">Sep-26</t>
        </is>
      </c>
      <c r="C10" s="16">
        <v>46266</v>
      </c>
      <c r="D10" s="16">
        <v>46295</v>
      </c>
      <c r="E10" s="0" t="inlineStr">
        <is>
          <t xml:space="preserve">fcst</t>
        </is>
      </c>
      <c r="F10" s="4">
        <v>2026</v>
      </c>
      <c r="G10" s="0" t="inlineStr">
        <is>
          <t xml:space="preserve">Q3 2026</t>
        </is>
      </c>
      <c r="H10" s="4">
        <v>8</v>
      </c>
    </row>
    <row r="11">
      <c r="A11" s="0" t="inlineStr">
        <is>
          <t xml:space="preserve">oct26</t>
        </is>
      </c>
      <c r="B11" s="0" t="inlineStr">
        <is>
          <t xml:space="preserve">Oct-26</t>
        </is>
      </c>
      <c r="C11" s="16">
        <v>46296</v>
      </c>
      <c r="D11" s="16">
        <v>46326</v>
      </c>
      <c r="E11" s="0" t="inlineStr">
        <is>
          <t xml:space="preserve">fcst</t>
        </is>
      </c>
      <c r="F11" s="4">
        <v>2026</v>
      </c>
      <c r="G11" s="0" t="inlineStr">
        <is>
          <t xml:space="preserve">Q4 2026</t>
        </is>
      </c>
      <c r="H11" s="4">
        <v>9</v>
      </c>
    </row>
    <row r="12">
      <c r="A12" s="0" t="inlineStr">
        <is>
          <t xml:space="preserve">nov26</t>
        </is>
      </c>
      <c r="B12" s="0" t="inlineStr">
        <is>
          <t xml:space="preserve">Nov-26</t>
        </is>
      </c>
      <c r="C12" s="16">
        <v>46327</v>
      </c>
      <c r="D12" s="16">
        <v>46356</v>
      </c>
      <c r="E12" s="0" t="inlineStr">
        <is>
          <t xml:space="preserve">fcst</t>
        </is>
      </c>
      <c r="F12" s="4">
        <v>2026</v>
      </c>
      <c r="G12" s="0" t="inlineStr">
        <is>
          <t xml:space="preserve">Q4 2026</t>
        </is>
      </c>
      <c r="H12" s="4">
        <v>10</v>
      </c>
    </row>
    <row r="13">
      <c r="A13" s="0" t="inlineStr">
        <is>
          <t xml:space="preserve">dec26</t>
        </is>
      </c>
      <c r="B13" s="0" t="inlineStr">
        <is>
          <t xml:space="preserve">Dec-26</t>
        </is>
      </c>
      <c r="C13" s="16">
        <v>46357</v>
      </c>
      <c r="D13" s="16">
        <v>46387</v>
      </c>
      <c r="E13" s="0" t="inlineStr">
        <is>
          <t xml:space="preserve">fcst</t>
        </is>
      </c>
      <c r="F13" s="4">
        <v>2026</v>
      </c>
      <c r="G13" s="0" t="inlineStr">
        <is>
          <t xml:space="preserve">Q4 2026</t>
        </is>
      </c>
      <c r="H13" s="4">
        <v>11</v>
      </c>
    </row>
  </sheetData>
</worksheet>
</file>

<file path=xl/worksheets/sheet14.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 min="4" max="4" width="14" customWidth="1"/>
    <col min="5" max="5" width="14" customWidth="1"/>
    <col min="6" max="6" width="14" customWidth="1"/>
    <col min="7" max="7" width="14" customWidth="1"/>
  </cols>
  <sheetData>
    <row r="1">
      <c r="A1" s="1" t="inlineStr">
        <is>
          <t xml:space="preserve">ID</t>
        </is>
      </c>
      <c r="B1" s="1" t="inlineStr">
        <is>
          <t xml:space="preserve">date</t>
        </is>
      </c>
      <c r="C1" s="1" t="inlineStr">
        <is>
          <t xml:space="preserve">subsidiary</t>
        </is>
      </c>
      <c r="D1" s="1" t="inlineStr">
        <is>
          <t xml:space="preserve">department</t>
        </is>
      </c>
      <c r="E1" s="1" t="inlineStr">
        <is>
          <t xml:space="preserve">account</t>
        </is>
      </c>
      <c r="F1" s="1" t="inlineStr">
        <is>
          <t xml:space="preserve">amount</t>
        </is>
      </c>
      <c r="G1" s="1" t="inlineStr">
        <is>
          <t xml:space="preserve">period</t>
        </is>
      </c>
    </row>
    <row r="2">
      <c r="A2" s="0" t="inlineStr">
        <is>
          <t xml:space="preserve">j00001</t>
        </is>
      </c>
      <c r="B2" s="16">
        <v>46050</v>
      </c>
      <c r="C2" s="0" t="inlineStr">
        <is>
          <t xml:space="preserve">us</t>
        </is>
      </c>
      <c r="D2" s="0" t="inlineStr">
        <is>
          <t xml:space="preserve">company</t>
        </is>
      </c>
      <c r="E2" s="0" t="inlineStr">
        <is>
          <t xml:space="preserve">revenue</t>
        </is>
      </c>
      <c r="F2" s="4">
        <v>4131437</v>
      </c>
      <c r="G2" s="0" t="str">
        <f>"jan26"</f>
        <v>jan26</v>
      </c>
    </row>
    <row r="3">
      <c r="A3" s="0" t="inlineStr">
        <is>
          <t xml:space="preserve">j00002</t>
        </is>
      </c>
      <c r="B3" s="16">
        <v>46042</v>
      </c>
      <c r="C3" s="0" t="inlineStr">
        <is>
          <t xml:space="preserve">us</t>
        </is>
      </c>
      <c r="D3" s="0" t="inlineStr">
        <is>
          <t xml:space="preserve">company</t>
        </is>
      </c>
      <c r="E3" s="0" t="inlineStr">
        <is>
          <t xml:space="preserve">cogs_hosting</t>
        </is>
      </c>
      <c r="F3" s="4">
        <v>-180883</v>
      </c>
      <c r="G3" s="0" t="str">
        <f>"jan26"</f>
        <v>jan26</v>
      </c>
    </row>
    <row r="4">
      <c r="A4" s="0" t="inlineStr">
        <is>
          <t xml:space="preserve">j00003</t>
        </is>
      </c>
      <c r="B4" s="16">
        <v>46050</v>
      </c>
      <c r="C4" s="0" t="inlineStr">
        <is>
          <t xml:space="preserve">us</t>
        </is>
      </c>
      <c r="D4" s="0" t="inlineStr">
        <is>
          <t xml:space="preserve">company</t>
        </is>
      </c>
      <c r="E4" s="0" t="inlineStr">
        <is>
          <t xml:space="preserve">cogs_hosting</t>
        </is>
      </c>
      <c r="F4" s="4">
        <v>-141553</v>
      </c>
      <c r="G4" s="0" t="str">
        <f>"jan26"</f>
        <v>jan26</v>
      </c>
    </row>
    <row r="5">
      <c r="A5" s="0" t="inlineStr">
        <is>
          <t xml:space="preserve">j00004</t>
        </is>
      </c>
      <c r="B5" s="16">
        <v>46042</v>
      </c>
      <c r="C5" s="0" t="inlineStr">
        <is>
          <t xml:space="preserve">us</t>
        </is>
      </c>
      <c r="D5" s="0" t="inlineStr">
        <is>
          <t xml:space="preserve">company</t>
        </is>
      </c>
      <c r="E5" s="0" t="inlineStr">
        <is>
          <t xml:space="preserve">cogs_hosting</t>
        </is>
      </c>
      <c r="F5" s="4">
        <v>-172061</v>
      </c>
      <c r="G5" s="0" t="str">
        <f>"jan26"</f>
        <v>jan26</v>
      </c>
    </row>
    <row r="6">
      <c r="A6" s="0" t="inlineStr">
        <is>
          <t xml:space="preserve">j00005</t>
        </is>
      </c>
      <c r="B6" s="16">
        <v>46027</v>
      </c>
      <c r="C6" s="0" t="inlineStr">
        <is>
          <t xml:space="preserve">us</t>
        </is>
      </c>
      <c r="D6" s="0" t="inlineStr">
        <is>
          <t xml:space="preserve">company</t>
        </is>
      </c>
      <c r="E6" s="0" t="inlineStr">
        <is>
          <t xml:space="preserve">cogs_support</t>
        </is>
      </c>
      <c r="F6" s="4">
        <v>-206198</v>
      </c>
      <c r="G6" s="0" t="str">
        <f>"jan26"</f>
        <v>jan26</v>
      </c>
    </row>
    <row r="7">
      <c r="A7" s="0" t="inlineStr">
        <is>
          <t xml:space="preserve">j00006</t>
        </is>
      </c>
      <c r="B7" s="16">
        <v>46047</v>
      </c>
      <c r="C7" s="0" t="inlineStr">
        <is>
          <t xml:space="preserve">us</t>
        </is>
      </c>
      <c r="D7" s="0" t="inlineStr">
        <is>
          <t xml:space="preserve">sales</t>
        </is>
      </c>
      <c r="E7" s="0" t="inlineStr">
        <is>
          <t xml:space="preserve">salaries</t>
        </is>
      </c>
      <c r="F7" s="4">
        <v>-324068</v>
      </c>
      <c r="G7" s="0" t="str">
        <f>"jan26"</f>
        <v>jan26</v>
      </c>
    </row>
    <row r="8">
      <c r="A8" s="0" t="inlineStr">
        <is>
          <t xml:space="preserve">j00007</t>
        </is>
      </c>
      <c r="B8" s="16">
        <v>46034</v>
      </c>
      <c r="C8" s="0" t="inlineStr">
        <is>
          <t xml:space="preserve">us</t>
        </is>
      </c>
      <c r="D8" s="0" t="inlineStr">
        <is>
          <t xml:space="preserve">sales</t>
        </is>
      </c>
      <c r="E8" s="0" t="inlineStr">
        <is>
          <t xml:space="preserve">benefits</t>
        </is>
      </c>
      <c r="F8" s="4">
        <v>-66712</v>
      </c>
      <c r="G8" s="0" t="str">
        <f>"jan26"</f>
        <v>jan26</v>
      </c>
    </row>
    <row r="9">
      <c r="A9" s="0" t="inlineStr">
        <is>
          <t xml:space="preserve">j00008</t>
        </is>
      </c>
      <c r="B9" s="16">
        <v>46042</v>
      </c>
      <c r="C9" s="0" t="inlineStr">
        <is>
          <t xml:space="preserve">us</t>
        </is>
      </c>
      <c r="D9" s="0" t="inlineStr">
        <is>
          <t xml:space="preserve">sales</t>
        </is>
      </c>
      <c r="E9" s="0" t="inlineStr">
        <is>
          <t xml:space="preserve">travel</t>
        </is>
      </c>
      <c r="F9" s="4">
        <v>-6385</v>
      </c>
      <c r="G9" s="0" t="str">
        <f>"jan26"</f>
        <v>jan26</v>
      </c>
    </row>
    <row r="10">
      <c r="A10" s="0" t="inlineStr">
        <is>
          <t xml:space="preserve">j00009</t>
        </is>
      </c>
      <c r="B10" s="16">
        <v>46050</v>
      </c>
      <c r="C10" s="0" t="inlineStr">
        <is>
          <t xml:space="preserve">us</t>
        </is>
      </c>
      <c r="D10" s="0" t="inlineStr">
        <is>
          <t xml:space="preserve">sales</t>
        </is>
      </c>
      <c r="E10" s="0" t="inlineStr">
        <is>
          <t xml:space="preserve">travel</t>
        </is>
      </c>
      <c r="F10" s="4">
        <v>-14819</v>
      </c>
      <c r="G10" s="0" t="str">
        <f>"jan26"</f>
        <v>jan26</v>
      </c>
    </row>
    <row r="11">
      <c r="A11" s="0" t="inlineStr">
        <is>
          <t xml:space="preserve">j00010</t>
        </is>
      </c>
      <c r="B11" s="16">
        <v>46027</v>
      </c>
      <c r="C11" s="0" t="inlineStr">
        <is>
          <t xml:space="preserve">us</t>
        </is>
      </c>
      <c r="D11" s="0" t="inlineStr">
        <is>
          <t xml:space="preserve">sales</t>
        </is>
      </c>
      <c r="E11" s="0" t="inlineStr">
        <is>
          <t xml:space="preserve">travel</t>
        </is>
      </c>
      <c r="F11" s="4">
        <v>-14233</v>
      </c>
      <c r="G11" s="0" t="str">
        <f>"jan26"</f>
        <v>jan26</v>
      </c>
    </row>
    <row r="12">
      <c r="A12" s="0" t="inlineStr">
        <is>
          <t xml:space="preserve">j00011</t>
        </is>
      </c>
      <c r="B12" s="16">
        <v>46050</v>
      </c>
      <c r="C12" s="0" t="inlineStr">
        <is>
          <t xml:space="preserve">us</t>
        </is>
      </c>
      <c r="D12" s="0" t="inlineStr">
        <is>
          <t xml:space="preserve">sales</t>
        </is>
      </c>
      <c r="E12" s="0" t="inlineStr">
        <is>
          <t xml:space="preserve">software</t>
        </is>
      </c>
      <c r="F12" s="4">
        <v>-5123</v>
      </c>
      <c r="G12" s="0" t="str">
        <f>"jan26"</f>
        <v>jan26</v>
      </c>
    </row>
    <row r="13">
      <c r="A13" s="0" t="inlineStr">
        <is>
          <t xml:space="preserve">j00012</t>
        </is>
      </c>
      <c r="B13" s="16">
        <v>46037</v>
      </c>
      <c r="C13" s="0" t="inlineStr">
        <is>
          <t xml:space="preserve">us</t>
        </is>
      </c>
      <c r="D13" s="0" t="inlineStr">
        <is>
          <t xml:space="preserve">sales</t>
        </is>
      </c>
      <c r="E13" s="0" t="inlineStr">
        <is>
          <t xml:space="preserve">software</t>
        </is>
      </c>
      <c r="F13" s="4">
        <v>-3844</v>
      </c>
      <c r="G13" s="0" t="str">
        <f>"jan26"</f>
        <v>jan26</v>
      </c>
    </row>
    <row r="14">
      <c r="A14" s="0" t="inlineStr">
        <is>
          <t xml:space="preserve">j00013</t>
        </is>
      </c>
      <c r="B14" s="16">
        <v>46047</v>
      </c>
      <c r="C14" s="0" t="inlineStr">
        <is>
          <t xml:space="preserve">us</t>
        </is>
      </c>
      <c r="D14" s="0" t="inlineStr">
        <is>
          <t xml:space="preserve">marketing</t>
        </is>
      </c>
      <c r="E14" s="0" t="inlineStr">
        <is>
          <t xml:space="preserve">salaries</t>
        </is>
      </c>
      <c r="F14" s="4">
        <v>-102781</v>
      </c>
      <c r="G14" s="0" t="str">
        <f>"jan26"</f>
        <v>jan26</v>
      </c>
    </row>
    <row r="15">
      <c r="A15" s="0" t="inlineStr">
        <is>
          <t xml:space="preserve">j00014</t>
        </is>
      </c>
      <c r="B15" s="16">
        <v>46042</v>
      </c>
      <c r="C15" s="0" t="inlineStr">
        <is>
          <t xml:space="preserve">us</t>
        </is>
      </c>
      <c r="D15" s="0" t="inlineStr">
        <is>
          <t xml:space="preserve">marketing</t>
        </is>
      </c>
      <c r="E15" s="0" t="inlineStr">
        <is>
          <t xml:space="preserve">benefits</t>
        </is>
      </c>
      <c r="F15" s="4">
        <v>-22212</v>
      </c>
      <c r="G15" s="0" t="str">
        <f>"jan26"</f>
        <v>jan26</v>
      </c>
    </row>
    <row r="16">
      <c r="A16" s="0" t="inlineStr">
        <is>
          <t xml:space="preserve">j00015</t>
        </is>
      </c>
      <c r="B16" s="16">
        <v>46050</v>
      </c>
      <c r="C16" s="0" t="inlineStr">
        <is>
          <t xml:space="preserve">us</t>
        </is>
      </c>
      <c r="D16" s="0" t="inlineStr">
        <is>
          <t xml:space="preserve">marketing</t>
        </is>
      </c>
      <c r="E16" s="0" t="inlineStr">
        <is>
          <t xml:space="preserve">software</t>
        </is>
      </c>
      <c r="F16" s="4">
        <v>-5210</v>
      </c>
      <c r="G16" s="0" t="str">
        <f>"jan26"</f>
        <v>jan26</v>
      </c>
    </row>
    <row r="17">
      <c r="A17" s="0" t="inlineStr">
        <is>
          <t xml:space="preserve">j00016</t>
        </is>
      </c>
      <c r="B17" s="16">
        <v>46042</v>
      </c>
      <c r="C17" s="0" t="inlineStr">
        <is>
          <t xml:space="preserve">us</t>
        </is>
      </c>
      <c r="D17" s="0" t="inlineStr">
        <is>
          <t xml:space="preserve">marketing</t>
        </is>
      </c>
      <c r="E17" s="0" t="inlineStr">
        <is>
          <t xml:space="preserve">software</t>
        </is>
      </c>
      <c r="F17" s="4">
        <v>-3238</v>
      </c>
      <c r="G17" s="0" t="str">
        <f>"jan26"</f>
        <v>jan26</v>
      </c>
    </row>
    <row r="18">
      <c r="A18" s="0" t="inlineStr">
        <is>
          <t xml:space="preserve">j00017</t>
        </is>
      </c>
      <c r="B18" s="16">
        <v>46042</v>
      </c>
      <c r="C18" s="0" t="inlineStr">
        <is>
          <t xml:space="preserve">us</t>
        </is>
      </c>
      <c r="D18" s="0" t="inlineStr">
        <is>
          <t xml:space="preserve">marketing</t>
        </is>
      </c>
      <c r="E18" s="0" t="inlineStr">
        <is>
          <t xml:space="preserve">software</t>
        </is>
      </c>
      <c r="F18" s="4">
        <v>-4921</v>
      </c>
      <c r="G18" s="0" t="str">
        <f>"jan26"</f>
        <v>jan26</v>
      </c>
    </row>
    <row r="19">
      <c r="A19" s="0" t="inlineStr">
        <is>
          <t xml:space="preserve">j00018</t>
        </is>
      </c>
      <c r="B19" s="16">
        <v>46027</v>
      </c>
      <c r="C19" s="0" t="inlineStr">
        <is>
          <t xml:space="preserve">us</t>
        </is>
      </c>
      <c r="D19" s="0" t="inlineStr">
        <is>
          <t xml:space="preserve">marketing</t>
        </is>
      </c>
      <c r="E19" s="0" t="inlineStr">
        <is>
          <t xml:space="preserve">travel</t>
        </is>
      </c>
      <c r="F19" s="4">
        <v>-3623</v>
      </c>
      <c r="G19" s="0" t="str">
        <f>"jan26"</f>
        <v>jan26</v>
      </c>
    </row>
    <row r="20">
      <c r="A20" s="0" t="inlineStr">
        <is>
          <t xml:space="preserve">j00019</t>
        </is>
      </c>
      <c r="B20" s="16">
        <v>46050</v>
      </c>
      <c r="C20" s="0" t="inlineStr">
        <is>
          <t xml:space="preserve">us</t>
        </is>
      </c>
      <c r="D20" s="0" t="inlineStr">
        <is>
          <t xml:space="preserve">marketing</t>
        </is>
      </c>
      <c r="E20" s="0" t="inlineStr">
        <is>
          <t xml:space="preserve">travel</t>
        </is>
      </c>
      <c r="F20" s="4">
        <v>-5377</v>
      </c>
      <c r="G20" s="0" t="str">
        <f>"jan26"</f>
        <v>jan26</v>
      </c>
    </row>
    <row r="21">
      <c r="A21" s="0" t="inlineStr">
        <is>
          <t xml:space="preserve">j00020</t>
        </is>
      </c>
      <c r="B21" s="16">
        <v>46034</v>
      </c>
      <c r="C21" s="0" t="inlineStr">
        <is>
          <t xml:space="preserve">us</t>
        </is>
      </c>
      <c r="D21" s="0" t="inlineStr">
        <is>
          <t xml:space="preserve">marketing</t>
        </is>
      </c>
      <c r="E21" s="0" t="inlineStr">
        <is>
          <t xml:space="preserve">travel</t>
        </is>
      </c>
      <c r="F21" s="4">
        <v>-3409</v>
      </c>
      <c r="G21" s="0" t="str">
        <f>"jan26"</f>
        <v>jan26</v>
      </c>
    </row>
    <row r="22">
      <c r="A22" s="0" t="inlineStr">
        <is>
          <t xml:space="preserve">j00021</t>
        </is>
      </c>
      <c r="B22" s="16">
        <v>46047</v>
      </c>
      <c r="C22" s="0" t="inlineStr">
        <is>
          <t xml:space="preserve">us</t>
        </is>
      </c>
      <c r="D22" s="0" t="inlineStr">
        <is>
          <t xml:space="preserve">engineering</t>
        </is>
      </c>
      <c r="E22" s="0" t="inlineStr">
        <is>
          <t xml:space="preserve">salaries</t>
        </is>
      </c>
      <c r="F22" s="4">
        <v>-605683</v>
      </c>
      <c r="G22" s="0" t="str">
        <f>"jan26"</f>
        <v>jan26</v>
      </c>
    </row>
    <row r="23">
      <c r="A23" s="0" t="inlineStr">
        <is>
          <t xml:space="preserve">j00022</t>
        </is>
      </c>
      <c r="B23" s="16">
        <v>46027</v>
      </c>
      <c r="C23" s="0" t="inlineStr">
        <is>
          <t xml:space="preserve">us</t>
        </is>
      </c>
      <c r="D23" s="0" t="inlineStr">
        <is>
          <t xml:space="preserve">engineering</t>
        </is>
      </c>
      <c r="E23" s="0" t="inlineStr">
        <is>
          <t xml:space="preserve">benefits</t>
        </is>
      </c>
      <c r="F23" s="4">
        <v>-139371</v>
      </c>
      <c r="G23" s="0" t="str">
        <f>"jan26"</f>
        <v>jan26</v>
      </c>
    </row>
    <row r="24">
      <c r="A24" s="0" t="inlineStr">
        <is>
          <t xml:space="preserve">j00023</t>
        </is>
      </c>
      <c r="B24" s="16">
        <v>46027</v>
      </c>
      <c r="C24" s="0" t="inlineStr">
        <is>
          <t xml:space="preserve">us</t>
        </is>
      </c>
      <c r="D24" s="0" t="inlineStr">
        <is>
          <t xml:space="preserve">engineering</t>
        </is>
      </c>
      <c r="E24" s="0" t="inlineStr">
        <is>
          <t xml:space="preserve">contractors</t>
        </is>
      </c>
      <c r="F24" s="4">
        <v>-20415</v>
      </c>
      <c r="G24" s="0" t="str">
        <f>"jan26"</f>
        <v>jan26</v>
      </c>
    </row>
    <row r="25">
      <c r="A25" s="0" t="inlineStr">
        <is>
          <t xml:space="preserve">j00024</t>
        </is>
      </c>
      <c r="B25" s="16">
        <v>46042</v>
      </c>
      <c r="C25" s="0" t="inlineStr">
        <is>
          <t xml:space="preserve">us</t>
        </is>
      </c>
      <c r="D25" s="0" t="inlineStr">
        <is>
          <t xml:space="preserve">engineering</t>
        </is>
      </c>
      <c r="E25" s="0" t="inlineStr">
        <is>
          <t xml:space="preserve">contractors</t>
        </is>
      </c>
      <c r="F25" s="4">
        <v>-20735</v>
      </c>
      <c r="G25" s="0" t="str">
        <f>"jan26"</f>
        <v>jan26</v>
      </c>
    </row>
    <row r="26">
      <c r="A26" s="0" t="inlineStr">
        <is>
          <t xml:space="preserve">j00025</t>
        </is>
      </c>
      <c r="B26" s="16">
        <v>46042</v>
      </c>
      <c r="C26" s="0" t="inlineStr">
        <is>
          <t xml:space="preserve">us</t>
        </is>
      </c>
      <c r="D26" s="0" t="inlineStr">
        <is>
          <t xml:space="preserve">engineering</t>
        </is>
      </c>
      <c r="E26" s="0" t="inlineStr">
        <is>
          <t xml:space="preserve">contractors</t>
        </is>
      </c>
      <c r="F26" s="4">
        <v>-14023</v>
      </c>
      <c r="G26" s="0" t="str">
        <f>"jan26"</f>
        <v>jan26</v>
      </c>
    </row>
    <row r="27">
      <c r="A27" s="0" t="inlineStr">
        <is>
          <t xml:space="preserve">j00026</t>
        </is>
      </c>
      <c r="B27" s="16">
        <v>46037</v>
      </c>
      <c r="C27" s="0" t="inlineStr">
        <is>
          <t xml:space="preserve">us</t>
        </is>
      </c>
      <c r="D27" s="0" t="inlineStr">
        <is>
          <t xml:space="preserve">engineering</t>
        </is>
      </c>
      <c r="E27" s="0" t="inlineStr">
        <is>
          <t xml:space="preserve">software</t>
        </is>
      </c>
      <c r="F27" s="4">
        <v>-9596</v>
      </c>
      <c r="G27" s="0" t="str">
        <f>"jan26"</f>
        <v>jan26</v>
      </c>
    </row>
    <row r="28">
      <c r="A28" s="0" t="inlineStr">
        <is>
          <t xml:space="preserve">j00027</t>
        </is>
      </c>
      <c r="B28" s="16">
        <v>46050</v>
      </c>
      <c r="C28" s="0" t="inlineStr">
        <is>
          <t xml:space="preserve">us</t>
        </is>
      </c>
      <c r="D28" s="0" t="inlineStr">
        <is>
          <t xml:space="preserve">engineering</t>
        </is>
      </c>
      <c r="E28" s="0" t="inlineStr">
        <is>
          <t xml:space="preserve">software</t>
        </is>
      </c>
      <c r="F28" s="4">
        <v>-10824</v>
      </c>
      <c r="G28" s="0" t="str">
        <f>"jan26"</f>
        <v>jan26</v>
      </c>
    </row>
    <row r="29">
      <c r="A29" s="0" t="inlineStr">
        <is>
          <t xml:space="preserve">j00028</t>
        </is>
      </c>
      <c r="B29" s="16">
        <v>46047</v>
      </c>
      <c r="C29" s="0" t="inlineStr">
        <is>
          <t xml:space="preserve">us</t>
        </is>
      </c>
      <c r="D29" s="0" t="inlineStr">
        <is>
          <t xml:space="preserve">customer_success</t>
        </is>
      </c>
      <c r="E29" s="0" t="inlineStr">
        <is>
          <t xml:space="preserve">salaries</t>
        </is>
      </c>
      <c r="F29" s="4">
        <v>-97216</v>
      </c>
      <c r="G29" s="0" t="str">
        <f>"jan26"</f>
        <v>jan26</v>
      </c>
    </row>
    <row r="30">
      <c r="A30" s="0" t="inlineStr">
        <is>
          <t xml:space="preserve">j00029</t>
        </is>
      </c>
      <c r="B30" s="16">
        <v>46042</v>
      </c>
      <c r="C30" s="0" t="inlineStr">
        <is>
          <t xml:space="preserve">us</t>
        </is>
      </c>
      <c r="D30" s="0" t="inlineStr">
        <is>
          <t xml:space="preserve">customer_success</t>
        </is>
      </c>
      <c r="E30" s="0" t="inlineStr">
        <is>
          <t xml:space="preserve">benefits</t>
        </is>
      </c>
      <c r="F30" s="4">
        <v>-22234</v>
      </c>
      <c r="G30" s="0" t="str">
        <f>"jan26"</f>
        <v>jan26</v>
      </c>
    </row>
    <row r="31">
      <c r="A31" s="0" t="inlineStr">
        <is>
          <t xml:space="preserve">j00030</t>
        </is>
      </c>
      <c r="B31" s="16">
        <v>46027</v>
      </c>
      <c r="C31" s="0" t="inlineStr">
        <is>
          <t xml:space="preserve">us</t>
        </is>
      </c>
      <c r="D31" s="0" t="inlineStr">
        <is>
          <t xml:space="preserve">customer_success</t>
        </is>
      </c>
      <c r="E31" s="0" t="inlineStr">
        <is>
          <t xml:space="preserve">software</t>
        </is>
      </c>
      <c r="F31" s="4">
        <v>-3574</v>
      </c>
      <c r="G31" s="0" t="str">
        <f>"jan26"</f>
        <v>jan26</v>
      </c>
    </row>
    <row r="32">
      <c r="A32" s="0" t="inlineStr">
        <is>
          <t xml:space="preserve">j00031</t>
        </is>
      </c>
      <c r="B32" s="16">
        <v>46034</v>
      </c>
      <c r="C32" s="0" t="inlineStr">
        <is>
          <t xml:space="preserve">us</t>
        </is>
      </c>
      <c r="D32" s="0" t="inlineStr">
        <is>
          <t xml:space="preserve">customer_success</t>
        </is>
      </c>
      <c r="E32" s="0" t="inlineStr">
        <is>
          <t xml:space="preserve">software</t>
        </is>
      </c>
      <c r="F32" s="4">
        <v>-3421</v>
      </c>
      <c r="G32" s="0" t="str">
        <f>"jan26"</f>
        <v>jan26</v>
      </c>
    </row>
    <row r="33">
      <c r="A33" s="0" t="inlineStr">
        <is>
          <t xml:space="preserve">j00032</t>
        </is>
      </c>
      <c r="B33" s="16">
        <v>46034</v>
      </c>
      <c r="C33" s="0" t="inlineStr">
        <is>
          <t xml:space="preserve">us</t>
        </is>
      </c>
      <c r="D33" s="0" t="inlineStr">
        <is>
          <t xml:space="preserve">customer_success</t>
        </is>
      </c>
      <c r="E33" s="0" t="inlineStr">
        <is>
          <t xml:space="preserve">travel</t>
        </is>
      </c>
      <c r="F33" s="4">
        <v>-1422</v>
      </c>
      <c r="G33" s="0" t="str">
        <f>"jan26"</f>
        <v>jan26</v>
      </c>
    </row>
    <row r="34">
      <c r="A34" s="0" t="inlineStr">
        <is>
          <t xml:space="preserve">j00033</t>
        </is>
      </c>
      <c r="B34" s="16">
        <v>46037</v>
      </c>
      <c r="C34" s="0" t="inlineStr">
        <is>
          <t xml:space="preserve">us</t>
        </is>
      </c>
      <c r="D34" s="0" t="inlineStr">
        <is>
          <t xml:space="preserve">customer_success</t>
        </is>
      </c>
      <c r="E34" s="0" t="inlineStr">
        <is>
          <t xml:space="preserve">travel</t>
        </is>
      </c>
      <c r="F34" s="4">
        <v>-1580</v>
      </c>
      <c r="G34" s="0" t="str">
        <f>"jan26"</f>
        <v>jan26</v>
      </c>
    </row>
    <row r="35">
      <c r="A35" s="0" t="inlineStr">
        <is>
          <t xml:space="preserve">j00034</t>
        </is>
      </c>
      <c r="B35" s="16">
        <v>46042</v>
      </c>
      <c r="C35" s="0" t="inlineStr">
        <is>
          <t xml:space="preserve">us</t>
        </is>
      </c>
      <c r="D35" s="0" t="inlineStr">
        <is>
          <t xml:space="preserve">customer_success</t>
        </is>
      </c>
      <c r="E35" s="0" t="inlineStr">
        <is>
          <t xml:space="preserve">travel</t>
        </is>
      </c>
      <c r="F35" s="4">
        <v>-850</v>
      </c>
      <c r="G35" s="0" t="str">
        <f>"jan26"</f>
        <v>jan26</v>
      </c>
    </row>
    <row r="36">
      <c r="A36" s="0" t="inlineStr">
        <is>
          <t xml:space="preserve">j00035</t>
        </is>
      </c>
      <c r="B36" s="16">
        <v>46047</v>
      </c>
      <c r="C36" s="0" t="inlineStr">
        <is>
          <t xml:space="preserve">us</t>
        </is>
      </c>
      <c r="D36" s="0" t="inlineStr">
        <is>
          <t xml:space="preserve">g_and_a</t>
        </is>
      </c>
      <c r="E36" s="0" t="inlineStr">
        <is>
          <t xml:space="preserve">salaries</t>
        </is>
      </c>
      <c r="F36" s="4">
        <v>-118201</v>
      </c>
      <c r="G36" s="0" t="str">
        <f>"jan26"</f>
        <v>jan26</v>
      </c>
    </row>
    <row r="37">
      <c r="A37" s="0" t="inlineStr">
        <is>
          <t xml:space="preserve">j00036</t>
        </is>
      </c>
      <c r="B37" s="16">
        <v>46027</v>
      </c>
      <c r="C37" s="0" t="inlineStr">
        <is>
          <t xml:space="preserve">us</t>
        </is>
      </c>
      <c r="D37" s="0" t="inlineStr">
        <is>
          <t xml:space="preserve">g_and_a</t>
        </is>
      </c>
      <c r="E37" s="0" t="inlineStr">
        <is>
          <t xml:space="preserve">benefits</t>
        </is>
      </c>
      <c r="F37" s="4">
        <v>-26915</v>
      </c>
      <c r="G37" s="0" t="str">
        <f>"jan26"</f>
        <v>jan26</v>
      </c>
    </row>
    <row r="38">
      <c r="A38" s="0" t="inlineStr">
        <is>
          <t xml:space="preserve">j00037</t>
        </is>
      </c>
      <c r="B38" s="16">
        <v>46037</v>
      </c>
      <c r="C38" s="0" t="inlineStr">
        <is>
          <t xml:space="preserve">us</t>
        </is>
      </c>
      <c r="D38" s="0" t="inlineStr">
        <is>
          <t xml:space="preserve">g_and_a</t>
        </is>
      </c>
      <c r="E38" s="0" t="inlineStr">
        <is>
          <t xml:space="preserve">rent</t>
        </is>
      </c>
      <c r="F38" s="4">
        <v>-83016</v>
      </c>
      <c r="G38" s="0" t="str">
        <f>"jan26"</f>
        <v>jan26</v>
      </c>
    </row>
    <row r="39">
      <c r="A39" s="0" t="inlineStr">
        <is>
          <t xml:space="preserve">j00038</t>
        </is>
      </c>
      <c r="B39" s="16">
        <v>46042</v>
      </c>
      <c r="C39" s="0" t="inlineStr">
        <is>
          <t xml:space="preserve">us</t>
        </is>
      </c>
      <c r="D39" s="0" t="inlineStr">
        <is>
          <t xml:space="preserve">g_and_a</t>
        </is>
      </c>
      <c r="E39" s="0" t="inlineStr">
        <is>
          <t xml:space="preserve">professional_fees</t>
        </is>
      </c>
      <c r="F39" s="4">
        <v>-10658</v>
      </c>
      <c r="G39" s="0" t="str">
        <f>"jan26"</f>
        <v>jan26</v>
      </c>
    </row>
    <row r="40">
      <c r="A40" s="0" t="inlineStr">
        <is>
          <t xml:space="preserve">j00039</t>
        </is>
      </c>
      <c r="B40" s="16">
        <v>46034</v>
      </c>
      <c r="C40" s="0" t="inlineStr">
        <is>
          <t xml:space="preserve">us</t>
        </is>
      </c>
      <c r="D40" s="0" t="inlineStr">
        <is>
          <t xml:space="preserve">g_and_a</t>
        </is>
      </c>
      <c r="E40" s="0" t="inlineStr">
        <is>
          <t xml:space="preserve">professional_fees</t>
        </is>
      </c>
      <c r="F40" s="4">
        <v>-11690</v>
      </c>
      <c r="G40" s="0" t="str">
        <f>"jan26"</f>
        <v>jan26</v>
      </c>
    </row>
    <row r="41">
      <c r="A41" s="0" t="inlineStr">
        <is>
          <t xml:space="preserve">j00040</t>
        </is>
      </c>
      <c r="B41" s="16">
        <v>46042</v>
      </c>
      <c r="C41" s="0" t="inlineStr">
        <is>
          <t xml:space="preserve">us</t>
        </is>
      </c>
      <c r="D41" s="0" t="inlineStr">
        <is>
          <t xml:space="preserve">g_and_a</t>
        </is>
      </c>
      <c r="E41" s="0" t="inlineStr">
        <is>
          <t xml:space="preserve">professional_fees</t>
        </is>
      </c>
      <c r="F41" s="4">
        <v>-8782</v>
      </c>
      <c r="G41" s="0" t="str">
        <f>"jan26"</f>
        <v>jan26</v>
      </c>
    </row>
    <row r="42">
      <c r="A42" s="0" t="inlineStr">
        <is>
          <t xml:space="preserve">j00041</t>
        </is>
      </c>
      <c r="B42" s="16">
        <v>46037</v>
      </c>
      <c r="C42" s="0" t="inlineStr">
        <is>
          <t xml:space="preserve">us</t>
        </is>
      </c>
      <c r="D42" s="0" t="inlineStr">
        <is>
          <t xml:space="preserve">g_and_a</t>
        </is>
      </c>
      <c r="E42" s="0" t="inlineStr">
        <is>
          <t xml:space="preserve">software</t>
        </is>
      </c>
      <c r="F42" s="4">
        <v>-4120</v>
      </c>
      <c r="G42" s="0" t="str">
        <f>"jan26"</f>
        <v>jan26</v>
      </c>
    </row>
    <row r="43">
      <c r="A43" s="0" t="inlineStr">
        <is>
          <t xml:space="preserve">j00042</t>
        </is>
      </c>
      <c r="B43" s="16">
        <v>46027</v>
      </c>
      <c r="C43" s="0" t="inlineStr">
        <is>
          <t xml:space="preserve">us</t>
        </is>
      </c>
      <c r="D43" s="0" t="inlineStr">
        <is>
          <t xml:space="preserve">g_and_a</t>
        </is>
      </c>
      <c r="E43" s="0" t="inlineStr">
        <is>
          <t xml:space="preserve">software</t>
        </is>
      </c>
      <c r="F43" s="4">
        <v>-3151</v>
      </c>
      <c r="G43" s="0" t="str">
        <f>"jan26"</f>
        <v>jan26</v>
      </c>
    </row>
    <row r="44">
      <c r="A44" s="0" t="inlineStr">
        <is>
          <t xml:space="preserve">j00043</t>
        </is>
      </c>
      <c r="B44" s="16">
        <v>46034</v>
      </c>
      <c r="C44" s="0" t="inlineStr">
        <is>
          <t xml:space="preserve">us</t>
        </is>
      </c>
      <c r="D44" s="0" t="inlineStr">
        <is>
          <t xml:space="preserve">g_and_a</t>
        </is>
      </c>
      <c r="E44" s="0" t="inlineStr">
        <is>
          <t xml:space="preserve">software</t>
        </is>
      </c>
      <c r="F44" s="4">
        <v>-3997</v>
      </c>
      <c r="G44" s="0" t="str">
        <f>"jan26"</f>
        <v>jan26</v>
      </c>
    </row>
    <row r="45">
      <c r="A45" s="0" t="inlineStr">
        <is>
          <t xml:space="preserve">j00044</t>
        </is>
      </c>
      <c r="B45" s="16">
        <v>46050</v>
      </c>
      <c r="C45" s="0" t="inlineStr">
        <is>
          <t xml:space="preserve">us</t>
        </is>
      </c>
      <c r="D45" s="0" t="inlineStr">
        <is>
          <t xml:space="preserve">g_and_a</t>
        </is>
      </c>
      <c r="E45" s="0" t="inlineStr">
        <is>
          <t xml:space="preserve">travel</t>
        </is>
      </c>
      <c r="F45" s="4">
        <v>-3090</v>
      </c>
      <c r="G45" s="0" t="str">
        <f>"jan26"</f>
        <v>jan26</v>
      </c>
    </row>
    <row r="46">
      <c r="A46" s="0" t="inlineStr">
        <is>
          <t xml:space="preserve">j00045</t>
        </is>
      </c>
      <c r="B46" s="16">
        <v>46027</v>
      </c>
      <c r="C46" s="0" t="inlineStr">
        <is>
          <t xml:space="preserve">us</t>
        </is>
      </c>
      <c r="D46" s="0" t="inlineStr">
        <is>
          <t xml:space="preserve">g_and_a</t>
        </is>
      </c>
      <c r="E46" s="0" t="inlineStr">
        <is>
          <t xml:space="preserve">travel</t>
        </is>
      </c>
      <c r="F46" s="4">
        <v>-996</v>
      </c>
      <c r="G46" s="0" t="str">
        <f>"jan26"</f>
        <v>jan26</v>
      </c>
    </row>
    <row r="47">
      <c r="A47" s="0" t="inlineStr">
        <is>
          <t xml:space="preserve">j00046</t>
        </is>
      </c>
      <c r="B47" s="16">
        <v>46050</v>
      </c>
      <c r="C47" s="0" t="inlineStr">
        <is>
          <t xml:space="preserve">us</t>
        </is>
      </c>
      <c r="D47" s="0" t="inlineStr">
        <is>
          <t xml:space="preserve">g_and_a</t>
        </is>
      </c>
      <c r="E47" s="0" t="inlineStr">
        <is>
          <t xml:space="preserve">travel</t>
        </is>
      </c>
      <c r="F47" s="4">
        <v>-1908</v>
      </c>
      <c r="G47" s="0" t="str">
        <f>"jan26"</f>
        <v>jan26</v>
      </c>
    </row>
    <row r="48">
      <c r="A48" s="0" t="inlineStr">
        <is>
          <t xml:space="preserve">j00047</t>
        </is>
      </c>
      <c r="B48" s="16">
        <v>46050</v>
      </c>
      <c r="C48" s="0" t="inlineStr">
        <is>
          <t xml:space="preserve">us</t>
        </is>
      </c>
      <c r="D48" s="0" t="inlineStr">
        <is>
          <t xml:space="preserve">sales</t>
        </is>
      </c>
      <c r="E48" s="0" t="inlineStr">
        <is>
          <t xml:space="preserve">commissions</t>
        </is>
      </c>
      <c r="F48" s="4">
        <v>-67023</v>
      </c>
      <c r="G48" s="0" t="str">
        <f>"jan26"</f>
        <v>jan26</v>
      </c>
    </row>
    <row r="49">
      <c r="A49" s="0" t="inlineStr">
        <is>
          <t xml:space="preserve">j00048</t>
        </is>
      </c>
      <c r="B49" s="16">
        <v>46037</v>
      </c>
      <c r="C49" s="0" t="inlineStr">
        <is>
          <t xml:space="preserve">us</t>
        </is>
      </c>
      <c r="D49" s="0" t="inlineStr">
        <is>
          <t xml:space="preserve">sales</t>
        </is>
      </c>
      <c r="E49" s="0" t="inlineStr">
        <is>
          <t xml:space="preserve">commissions</t>
        </is>
      </c>
      <c r="F49" s="4">
        <v>-112685</v>
      </c>
      <c r="G49" s="0" t="str">
        <f>"jan26"</f>
        <v>jan26</v>
      </c>
    </row>
    <row r="50">
      <c r="A50" s="0" t="inlineStr">
        <is>
          <t xml:space="preserve">j00049</t>
        </is>
      </c>
      <c r="B50" s="16">
        <v>46050</v>
      </c>
      <c r="C50" s="0" t="inlineStr">
        <is>
          <t xml:space="preserve">us</t>
        </is>
      </c>
      <c r="D50" s="0" t="inlineStr">
        <is>
          <t xml:space="preserve">marketing</t>
        </is>
      </c>
      <c r="E50" s="0" t="inlineStr">
        <is>
          <t xml:space="preserve">marketing_programs</t>
        </is>
      </c>
      <c r="F50" s="4">
        <v>-77546</v>
      </c>
      <c r="G50" s="0" t="str">
        <f>"jan26"</f>
        <v>jan26</v>
      </c>
    </row>
    <row r="51">
      <c r="A51" s="0" t="inlineStr">
        <is>
          <t xml:space="preserve">j00050</t>
        </is>
      </c>
      <c r="B51" s="16">
        <v>46042</v>
      </c>
      <c r="C51" s="0" t="inlineStr">
        <is>
          <t xml:space="preserve">us</t>
        </is>
      </c>
      <c r="D51" s="0" t="inlineStr">
        <is>
          <t xml:space="preserve">marketing</t>
        </is>
      </c>
      <c r="E51" s="0" t="inlineStr">
        <is>
          <t xml:space="preserve">marketing_programs</t>
        </is>
      </c>
      <c r="F51" s="4">
        <v>-245139</v>
      </c>
      <c r="G51" s="0" t="str">
        <f>"jan26"</f>
        <v>jan26</v>
      </c>
    </row>
    <row r="52">
      <c r="A52" s="0" t="inlineStr">
        <is>
          <t xml:space="preserve">j00051</t>
        </is>
      </c>
      <c r="B52" s="16">
        <v>46034</v>
      </c>
      <c r="C52" s="0" t="inlineStr">
        <is>
          <t xml:space="preserve">us</t>
        </is>
      </c>
      <c r="D52" s="0" t="inlineStr">
        <is>
          <t xml:space="preserve">engineering</t>
        </is>
      </c>
      <c r="E52" s="0" t="inlineStr">
        <is>
          <t xml:space="preserve">cloud</t>
        </is>
      </c>
      <c r="F52" s="4">
        <v>-175955</v>
      </c>
      <c r="G52" s="0" t="str">
        <f>"jan26"</f>
        <v>jan26</v>
      </c>
    </row>
    <row r="53">
      <c r="A53" s="0" t="inlineStr">
        <is>
          <t xml:space="preserve">j00052</t>
        </is>
      </c>
      <c r="B53" s="16">
        <v>46050</v>
      </c>
      <c r="C53" s="0" t="inlineStr">
        <is>
          <t xml:space="preserve">us</t>
        </is>
      </c>
      <c r="D53" s="0" t="inlineStr">
        <is>
          <t xml:space="preserve">engineering</t>
        </is>
      </c>
      <c r="E53" s="0" t="inlineStr">
        <is>
          <t xml:space="preserve">cloud</t>
        </is>
      </c>
      <c r="F53" s="4">
        <v>-160806</v>
      </c>
      <c r="G53" s="0" t="str">
        <f>"jan26"</f>
        <v>jan26</v>
      </c>
    </row>
    <row r="54">
      <c r="A54" s="0" t="inlineStr">
        <is>
          <t xml:space="preserve">j00053</t>
        </is>
      </c>
      <c r="B54" s="16">
        <v>46065</v>
      </c>
      <c r="C54" s="0" t="inlineStr">
        <is>
          <t xml:space="preserve">us</t>
        </is>
      </c>
      <c r="D54" s="0" t="inlineStr">
        <is>
          <t xml:space="preserve">company</t>
        </is>
      </c>
      <c r="E54" s="0" t="inlineStr">
        <is>
          <t xml:space="preserve">revenue</t>
        </is>
      </c>
      <c r="F54" s="4">
        <v>4250476</v>
      </c>
      <c r="G54" s="0" t="str">
        <f>"feb26"</f>
        <v>feb26</v>
      </c>
    </row>
    <row r="55">
      <c r="A55" s="0" t="inlineStr">
        <is>
          <t xml:space="preserve">j00054</t>
        </is>
      </c>
      <c r="B55" s="16">
        <v>46068</v>
      </c>
      <c r="C55" s="0" t="inlineStr">
        <is>
          <t xml:space="preserve">us</t>
        </is>
      </c>
      <c r="D55" s="0" t="inlineStr">
        <is>
          <t xml:space="preserve">company</t>
        </is>
      </c>
      <c r="E55" s="0" t="inlineStr">
        <is>
          <t xml:space="preserve">cogs_hosting</t>
        </is>
      </c>
      <c r="F55" s="4">
        <v>-221111</v>
      </c>
      <c r="G55" s="0" t="str">
        <f>"feb26"</f>
        <v>feb26</v>
      </c>
    </row>
    <row r="56">
      <c r="A56" s="0" t="inlineStr">
        <is>
          <t xml:space="preserve">j00055</t>
        </is>
      </c>
      <c r="B56" s="16">
        <v>46081</v>
      </c>
      <c r="C56" s="0" t="inlineStr">
        <is>
          <t xml:space="preserve">us</t>
        </is>
      </c>
      <c r="D56" s="0" t="inlineStr">
        <is>
          <t xml:space="preserve">company</t>
        </is>
      </c>
      <c r="E56" s="0" t="inlineStr">
        <is>
          <t xml:space="preserve">cogs_hosting</t>
        </is>
      </c>
      <c r="F56" s="4">
        <v>-247964</v>
      </c>
      <c r="G56" s="0" t="str">
        <f>"feb26"</f>
        <v>feb26</v>
      </c>
    </row>
    <row r="57">
      <c r="A57" s="0" t="inlineStr">
        <is>
          <t xml:space="preserve">j00056</t>
        </is>
      </c>
      <c r="B57" s="16">
        <v>46073</v>
      </c>
      <c r="C57" s="0" t="inlineStr">
        <is>
          <t xml:space="preserve">us</t>
        </is>
      </c>
      <c r="D57" s="0" t="inlineStr">
        <is>
          <t xml:space="preserve">company</t>
        </is>
      </c>
      <c r="E57" s="0" t="inlineStr">
        <is>
          <t xml:space="preserve">cogs_support</t>
        </is>
      </c>
      <c r="F57" s="4">
        <v>-68352</v>
      </c>
      <c r="G57" s="0" t="str">
        <f>"feb26"</f>
        <v>feb26</v>
      </c>
    </row>
    <row r="58">
      <c r="A58" s="0" t="inlineStr">
        <is>
          <t xml:space="preserve">j00057</t>
        </is>
      </c>
      <c r="B58" s="16">
        <v>46058</v>
      </c>
      <c r="C58" s="0" t="inlineStr">
        <is>
          <t xml:space="preserve">us</t>
        </is>
      </c>
      <c r="D58" s="0" t="inlineStr">
        <is>
          <t xml:space="preserve">company</t>
        </is>
      </c>
      <c r="E58" s="0" t="inlineStr">
        <is>
          <t xml:space="preserve">cogs_support</t>
        </is>
      </c>
      <c r="F58" s="4">
        <v>-127281</v>
      </c>
      <c r="G58" s="0" t="str">
        <f>"feb26"</f>
        <v>feb26</v>
      </c>
    </row>
    <row r="59">
      <c r="A59" s="0" t="inlineStr">
        <is>
          <t xml:space="preserve">j00058</t>
        </is>
      </c>
      <c r="B59" s="16">
        <v>46078</v>
      </c>
      <c r="C59" s="0" t="inlineStr">
        <is>
          <t xml:space="preserve">us</t>
        </is>
      </c>
      <c r="D59" s="0" t="inlineStr">
        <is>
          <t xml:space="preserve">sales</t>
        </is>
      </c>
      <c r="E59" s="0" t="inlineStr">
        <is>
          <t xml:space="preserve">salaries</t>
        </is>
      </c>
      <c r="F59" s="4">
        <v>-331696</v>
      </c>
      <c r="G59" s="0" t="str">
        <f>"feb26"</f>
        <v>feb26</v>
      </c>
    </row>
    <row r="60">
      <c r="A60" s="0" t="inlineStr">
        <is>
          <t xml:space="preserve">j00059</t>
        </is>
      </c>
      <c r="B60" s="16">
        <v>46058</v>
      </c>
      <c r="C60" s="0" t="inlineStr">
        <is>
          <t xml:space="preserve">us</t>
        </is>
      </c>
      <c r="D60" s="0" t="inlineStr">
        <is>
          <t xml:space="preserve">sales</t>
        </is>
      </c>
      <c r="E60" s="0" t="inlineStr">
        <is>
          <t xml:space="preserve">benefits</t>
        </is>
      </c>
      <c r="F60" s="4">
        <v>-65892</v>
      </c>
      <c r="G60" s="0" t="str">
        <f>"feb26"</f>
        <v>feb26</v>
      </c>
    </row>
    <row r="61">
      <c r="A61" s="0" t="inlineStr">
        <is>
          <t xml:space="preserve">j00060</t>
        </is>
      </c>
      <c r="B61" s="16">
        <v>46068</v>
      </c>
      <c r="C61" s="0" t="inlineStr">
        <is>
          <t xml:space="preserve">us</t>
        </is>
      </c>
      <c r="D61" s="0" t="inlineStr">
        <is>
          <t xml:space="preserve">sales</t>
        </is>
      </c>
      <c r="E61" s="0" t="inlineStr">
        <is>
          <t xml:space="preserve">travel</t>
        </is>
      </c>
      <c r="F61" s="4">
        <v>-39720</v>
      </c>
      <c r="G61" s="0" t="str">
        <f>"feb26"</f>
        <v>feb26</v>
      </c>
    </row>
    <row r="62">
      <c r="A62" s="0" t="inlineStr">
        <is>
          <t xml:space="preserve">j00061</t>
        </is>
      </c>
      <c r="B62" s="16">
        <v>46073</v>
      </c>
      <c r="C62" s="0" t="inlineStr">
        <is>
          <t xml:space="preserve">us</t>
        </is>
      </c>
      <c r="D62" s="0" t="inlineStr">
        <is>
          <t xml:space="preserve">sales</t>
        </is>
      </c>
      <c r="E62" s="0" t="inlineStr">
        <is>
          <t xml:space="preserve">software</t>
        </is>
      </c>
      <c r="F62" s="4">
        <v>-8853</v>
      </c>
      <c r="G62" s="0" t="str">
        <f>"feb26"</f>
        <v>feb26</v>
      </c>
    </row>
    <row r="63">
      <c r="A63" s="0" t="inlineStr">
        <is>
          <t xml:space="preserve">j00062</t>
        </is>
      </c>
      <c r="B63" s="16">
        <v>46078</v>
      </c>
      <c r="C63" s="0" t="inlineStr">
        <is>
          <t xml:space="preserve">us</t>
        </is>
      </c>
      <c r="D63" s="0" t="inlineStr">
        <is>
          <t xml:space="preserve">marketing</t>
        </is>
      </c>
      <c r="E63" s="0" t="inlineStr">
        <is>
          <t xml:space="preserve">salaries</t>
        </is>
      </c>
      <c r="F63" s="4">
        <v>-99891</v>
      </c>
      <c r="G63" s="0" t="str">
        <f>"feb26"</f>
        <v>feb26</v>
      </c>
    </row>
    <row r="64">
      <c r="A64" s="0" t="inlineStr">
        <is>
          <t xml:space="preserve">j00063</t>
        </is>
      </c>
      <c r="B64" s="16">
        <v>46073</v>
      </c>
      <c r="C64" s="0" t="inlineStr">
        <is>
          <t xml:space="preserve">us</t>
        </is>
      </c>
      <c r="D64" s="0" t="inlineStr">
        <is>
          <t xml:space="preserve">marketing</t>
        </is>
      </c>
      <c r="E64" s="0" t="inlineStr">
        <is>
          <t xml:space="preserve">benefits</t>
        </is>
      </c>
      <c r="F64" s="4">
        <v>-22691</v>
      </c>
      <c r="G64" s="0" t="str">
        <f>"feb26"</f>
        <v>feb26</v>
      </c>
    </row>
    <row r="65">
      <c r="A65" s="0" t="inlineStr">
        <is>
          <t xml:space="preserve">j00064</t>
        </is>
      </c>
      <c r="B65" s="16">
        <v>46058</v>
      </c>
      <c r="C65" s="0" t="inlineStr">
        <is>
          <t xml:space="preserve">us</t>
        </is>
      </c>
      <c r="D65" s="0" t="inlineStr">
        <is>
          <t xml:space="preserve">marketing</t>
        </is>
      </c>
      <c r="E65" s="0" t="inlineStr">
        <is>
          <t xml:space="preserve">software</t>
        </is>
      </c>
      <c r="F65" s="4">
        <v>-8049</v>
      </c>
      <c r="G65" s="0" t="str">
        <f>"feb26"</f>
        <v>feb26</v>
      </c>
    </row>
    <row r="66">
      <c r="A66" s="0" t="inlineStr">
        <is>
          <t xml:space="preserve">j00065</t>
        </is>
      </c>
      <c r="B66" s="16">
        <v>46081</v>
      </c>
      <c r="C66" s="0" t="inlineStr">
        <is>
          <t xml:space="preserve">us</t>
        </is>
      </c>
      <c r="D66" s="0" t="inlineStr">
        <is>
          <t xml:space="preserve">marketing</t>
        </is>
      </c>
      <c r="E66" s="0" t="inlineStr">
        <is>
          <t xml:space="preserve">software</t>
        </is>
      </c>
      <c r="F66" s="4">
        <v>-5657</v>
      </c>
      <c r="G66" s="0" t="str">
        <f>"feb26"</f>
        <v>feb26</v>
      </c>
    </row>
    <row r="67">
      <c r="A67" s="0" t="inlineStr">
        <is>
          <t xml:space="preserve">j00066</t>
        </is>
      </c>
      <c r="B67" s="16">
        <v>46058</v>
      </c>
      <c r="C67" s="0" t="inlineStr">
        <is>
          <t xml:space="preserve">us</t>
        </is>
      </c>
      <c r="D67" s="0" t="inlineStr">
        <is>
          <t xml:space="preserve">marketing</t>
        </is>
      </c>
      <c r="E67" s="0" t="inlineStr">
        <is>
          <t xml:space="preserve">travel</t>
        </is>
      </c>
      <c r="F67" s="4">
        <v>-3410</v>
      </c>
      <c r="G67" s="0" t="str">
        <f>"feb26"</f>
        <v>feb26</v>
      </c>
    </row>
    <row r="68">
      <c r="A68" s="0" t="inlineStr">
        <is>
          <t xml:space="preserve">j00067</t>
        </is>
      </c>
      <c r="B68" s="16">
        <v>46073</v>
      </c>
      <c r="C68" s="0" t="inlineStr">
        <is>
          <t xml:space="preserve">us</t>
        </is>
      </c>
      <c r="D68" s="0" t="inlineStr">
        <is>
          <t xml:space="preserve">marketing</t>
        </is>
      </c>
      <c r="E68" s="0" t="inlineStr">
        <is>
          <t xml:space="preserve">travel</t>
        </is>
      </c>
      <c r="F68" s="4">
        <v>-8345</v>
      </c>
      <c r="G68" s="0" t="str">
        <f>"feb26"</f>
        <v>feb26</v>
      </c>
    </row>
    <row r="69">
      <c r="A69" s="0" t="inlineStr">
        <is>
          <t xml:space="preserve">j00068</t>
        </is>
      </c>
      <c r="B69" s="16">
        <v>46078</v>
      </c>
      <c r="C69" s="0" t="inlineStr">
        <is>
          <t xml:space="preserve">us</t>
        </is>
      </c>
      <c r="D69" s="0" t="inlineStr">
        <is>
          <t xml:space="preserve">engineering</t>
        </is>
      </c>
      <c r="E69" s="0" t="inlineStr">
        <is>
          <t xml:space="preserve">salaries</t>
        </is>
      </c>
      <c r="F69" s="4">
        <v>-645821</v>
      </c>
      <c r="G69" s="0" t="str">
        <f>"feb26"</f>
        <v>feb26</v>
      </c>
    </row>
    <row r="70">
      <c r="A70" s="0" t="inlineStr">
        <is>
          <t xml:space="preserve">j00069</t>
        </is>
      </c>
      <c r="B70" s="16">
        <v>46058</v>
      </c>
      <c r="C70" s="0" t="inlineStr">
        <is>
          <t xml:space="preserve">us</t>
        </is>
      </c>
      <c r="D70" s="0" t="inlineStr">
        <is>
          <t xml:space="preserve">engineering</t>
        </is>
      </c>
      <c r="E70" s="0" t="inlineStr">
        <is>
          <t xml:space="preserve">benefits</t>
        </is>
      </c>
      <c r="F70" s="4">
        <v>-130686</v>
      </c>
      <c r="G70" s="0" t="str">
        <f>"feb26"</f>
        <v>feb26</v>
      </c>
    </row>
    <row r="71">
      <c r="A71" s="0" t="inlineStr">
        <is>
          <t xml:space="preserve">j00070</t>
        </is>
      </c>
      <c r="B71" s="16">
        <v>46081</v>
      </c>
      <c r="C71" s="0" t="inlineStr">
        <is>
          <t xml:space="preserve">us</t>
        </is>
      </c>
      <c r="D71" s="0" t="inlineStr">
        <is>
          <t xml:space="preserve">engineering</t>
        </is>
      </c>
      <c r="E71" s="0" t="inlineStr">
        <is>
          <t xml:space="preserve">contractors</t>
        </is>
      </c>
      <c r="F71" s="4">
        <v>-38525</v>
      </c>
      <c r="G71" s="0" t="str">
        <f>"feb26"</f>
        <v>feb26</v>
      </c>
    </row>
    <row r="72">
      <c r="A72" s="0" t="inlineStr">
        <is>
          <t xml:space="preserve">j00071</t>
        </is>
      </c>
      <c r="B72" s="16">
        <v>46065</v>
      </c>
      <c r="C72" s="0" t="inlineStr">
        <is>
          <t xml:space="preserve">us</t>
        </is>
      </c>
      <c r="D72" s="0" t="inlineStr">
        <is>
          <t xml:space="preserve">engineering</t>
        </is>
      </c>
      <c r="E72" s="0" t="inlineStr">
        <is>
          <t xml:space="preserve">contractors</t>
        </is>
      </c>
      <c r="F72" s="4">
        <v>-21132</v>
      </c>
      <c r="G72" s="0" t="str">
        <f>"feb26"</f>
        <v>feb26</v>
      </c>
    </row>
    <row r="73">
      <c r="A73" s="0" t="inlineStr">
        <is>
          <t xml:space="preserve">j00072</t>
        </is>
      </c>
      <c r="B73" s="16">
        <v>46073</v>
      </c>
      <c r="C73" s="0" t="inlineStr">
        <is>
          <t xml:space="preserve">us</t>
        </is>
      </c>
      <c r="D73" s="0" t="inlineStr">
        <is>
          <t xml:space="preserve">engineering</t>
        </is>
      </c>
      <c r="E73" s="0" t="inlineStr">
        <is>
          <t xml:space="preserve">software</t>
        </is>
      </c>
      <c r="F73" s="4">
        <v>-4950</v>
      </c>
      <c r="G73" s="0" t="str">
        <f>"feb26"</f>
        <v>feb26</v>
      </c>
    </row>
    <row r="74">
      <c r="A74" s="0" t="inlineStr">
        <is>
          <t xml:space="preserve">j00073</t>
        </is>
      </c>
      <c r="B74" s="16">
        <v>46068</v>
      </c>
      <c r="C74" s="0" t="inlineStr">
        <is>
          <t xml:space="preserve">us</t>
        </is>
      </c>
      <c r="D74" s="0" t="inlineStr">
        <is>
          <t xml:space="preserve">engineering</t>
        </is>
      </c>
      <c r="E74" s="0" t="inlineStr">
        <is>
          <t xml:space="preserve">software</t>
        </is>
      </c>
      <c r="F74" s="4">
        <v>-7198</v>
      </c>
      <c r="G74" s="0" t="str">
        <f>"feb26"</f>
        <v>feb26</v>
      </c>
    </row>
    <row r="75">
      <c r="A75" s="0" t="inlineStr">
        <is>
          <t xml:space="preserve">j00074</t>
        </is>
      </c>
      <c r="B75" s="16">
        <v>46065</v>
      </c>
      <c r="C75" s="0" t="inlineStr">
        <is>
          <t xml:space="preserve">us</t>
        </is>
      </c>
      <c r="D75" s="0" t="inlineStr">
        <is>
          <t xml:space="preserve">engineering</t>
        </is>
      </c>
      <c r="E75" s="0" t="inlineStr">
        <is>
          <t xml:space="preserve">software</t>
        </is>
      </c>
      <c r="F75" s="4">
        <v>-10094</v>
      </c>
      <c r="G75" s="0" t="str">
        <f>"feb26"</f>
        <v>feb26</v>
      </c>
    </row>
    <row r="76">
      <c r="A76" s="0" t="inlineStr">
        <is>
          <t xml:space="preserve">j00075</t>
        </is>
      </c>
      <c r="B76" s="16">
        <v>46078</v>
      </c>
      <c r="C76" s="0" t="inlineStr">
        <is>
          <t xml:space="preserve">us</t>
        </is>
      </c>
      <c r="D76" s="0" t="inlineStr">
        <is>
          <t xml:space="preserve">customer_success</t>
        </is>
      </c>
      <c r="E76" s="0" t="inlineStr">
        <is>
          <t xml:space="preserve">salaries</t>
        </is>
      </c>
      <c r="F76" s="4">
        <v>-129293</v>
      </c>
      <c r="G76" s="0" t="str">
        <f>"feb26"</f>
        <v>feb26</v>
      </c>
    </row>
    <row r="77">
      <c r="A77" s="0" t="inlineStr">
        <is>
          <t xml:space="preserve">j00076</t>
        </is>
      </c>
      <c r="B77" s="16">
        <v>46073</v>
      </c>
      <c r="C77" s="0" t="inlineStr">
        <is>
          <t xml:space="preserve">us</t>
        </is>
      </c>
      <c r="D77" s="0" t="inlineStr">
        <is>
          <t xml:space="preserve">customer_success</t>
        </is>
      </c>
      <c r="E77" s="0" t="inlineStr">
        <is>
          <t xml:space="preserve">benefits</t>
        </is>
      </c>
      <c r="F77" s="4">
        <v>-25376</v>
      </c>
      <c r="G77" s="0" t="str">
        <f>"feb26"</f>
        <v>feb26</v>
      </c>
    </row>
    <row r="78">
      <c r="A78" s="0" t="inlineStr">
        <is>
          <t xml:space="preserve">j00077</t>
        </is>
      </c>
      <c r="B78" s="16">
        <v>46073</v>
      </c>
      <c r="C78" s="0" t="inlineStr">
        <is>
          <t xml:space="preserve">us</t>
        </is>
      </c>
      <c r="D78" s="0" t="inlineStr">
        <is>
          <t xml:space="preserve">customer_success</t>
        </is>
      </c>
      <c r="E78" s="0" t="inlineStr">
        <is>
          <t xml:space="preserve">software</t>
        </is>
      </c>
      <c r="F78" s="4">
        <v>-4113</v>
      </c>
      <c r="G78" s="0" t="str">
        <f>"feb26"</f>
        <v>feb26</v>
      </c>
    </row>
    <row r="79">
      <c r="A79" s="0" t="inlineStr">
        <is>
          <t xml:space="preserve">j00078</t>
        </is>
      </c>
      <c r="B79" s="16">
        <v>46073</v>
      </c>
      <c r="C79" s="0" t="inlineStr">
        <is>
          <t xml:space="preserve">us</t>
        </is>
      </c>
      <c r="D79" s="0" t="inlineStr">
        <is>
          <t xml:space="preserve">customer_success</t>
        </is>
      </c>
      <c r="E79" s="0" t="inlineStr">
        <is>
          <t xml:space="preserve">software</t>
        </is>
      </c>
      <c r="F79" s="4">
        <v>-3353</v>
      </c>
      <c r="G79" s="0" t="str">
        <f>"feb26"</f>
        <v>feb26</v>
      </c>
    </row>
    <row r="80">
      <c r="A80" s="0" t="inlineStr">
        <is>
          <t xml:space="preserve">j00079</t>
        </is>
      </c>
      <c r="B80" s="16">
        <v>46065</v>
      </c>
      <c r="C80" s="0" t="inlineStr">
        <is>
          <t xml:space="preserve">us</t>
        </is>
      </c>
      <c r="D80" s="0" t="inlineStr">
        <is>
          <t xml:space="preserve">customer_success</t>
        </is>
      </c>
      <c r="E80" s="0" t="inlineStr">
        <is>
          <t xml:space="preserve">travel</t>
        </is>
      </c>
      <c r="F80" s="4">
        <v>-2117</v>
      </c>
      <c r="G80" s="0" t="str">
        <f>"feb26"</f>
        <v>feb26</v>
      </c>
    </row>
    <row r="81">
      <c r="A81" s="0" t="inlineStr">
        <is>
          <t xml:space="preserve">j00080</t>
        </is>
      </c>
      <c r="B81" s="16">
        <v>46058</v>
      </c>
      <c r="C81" s="0" t="inlineStr">
        <is>
          <t xml:space="preserve">us</t>
        </is>
      </c>
      <c r="D81" s="0" t="inlineStr">
        <is>
          <t xml:space="preserve">customer_success</t>
        </is>
      </c>
      <c r="E81" s="0" t="inlineStr">
        <is>
          <t xml:space="preserve">travel</t>
        </is>
      </c>
      <c r="F81" s="4">
        <v>-2177</v>
      </c>
      <c r="G81" s="0" t="str">
        <f>"feb26"</f>
        <v>feb26</v>
      </c>
    </row>
    <row r="82">
      <c r="A82" s="0" t="inlineStr">
        <is>
          <t xml:space="preserve">j00081</t>
        </is>
      </c>
      <c r="B82" s="16">
        <v>46078</v>
      </c>
      <c r="C82" s="0" t="inlineStr">
        <is>
          <t xml:space="preserve">us</t>
        </is>
      </c>
      <c r="D82" s="0" t="inlineStr">
        <is>
          <t xml:space="preserve">g_and_a</t>
        </is>
      </c>
      <c r="E82" s="0" t="inlineStr">
        <is>
          <t xml:space="preserve">salaries</t>
        </is>
      </c>
      <c r="F82" s="4">
        <v>-132880</v>
      </c>
      <c r="G82" s="0" t="str">
        <f>"feb26"</f>
        <v>feb26</v>
      </c>
    </row>
    <row r="83">
      <c r="A83" s="0" t="inlineStr">
        <is>
          <t xml:space="preserve">j00082</t>
        </is>
      </c>
      <c r="B83" s="16">
        <v>46065</v>
      </c>
      <c r="C83" s="0" t="inlineStr">
        <is>
          <t xml:space="preserve">us</t>
        </is>
      </c>
      <c r="D83" s="0" t="inlineStr">
        <is>
          <t xml:space="preserve">g_and_a</t>
        </is>
      </c>
      <c r="E83" s="0" t="inlineStr">
        <is>
          <t xml:space="preserve">benefits</t>
        </is>
      </c>
      <c r="F83" s="4">
        <v>-28180</v>
      </c>
      <c r="G83" s="0" t="str">
        <f>"feb26"</f>
        <v>feb26</v>
      </c>
    </row>
    <row r="84">
      <c r="A84" s="0" t="inlineStr">
        <is>
          <t xml:space="preserve">j00083</t>
        </is>
      </c>
      <c r="B84" s="16">
        <v>46068</v>
      </c>
      <c r="C84" s="0" t="inlineStr">
        <is>
          <t xml:space="preserve">us</t>
        </is>
      </c>
      <c r="D84" s="0" t="inlineStr">
        <is>
          <t xml:space="preserve">g_and_a</t>
        </is>
      </c>
      <c r="E84" s="0" t="inlineStr">
        <is>
          <t xml:space="preserve">rent</t>
        </is>
      </c>
      <c r="F84" s="4">
        <v>-84231</v>
      </c>
      <c r="G84" s="0" t="str">
        <f>"feb26"</f>
        <v>feb26</v>
      </c>
    </row>
    <row r="85">
      <c r="A85" s="0" t="inlineStr">
        <is>
          <t xml:space="preserve">j00084</t>
        </is>
      </c>
      <c r="B85" s="16">
        <v>46081</v>
      </c>
      <c r="C85" s="0" t="inlineStr">
        <is>
          <t xml:space="preserve">us</t>
        </is>
      </c>
      <c r="D85" s="0" t="inlineStr">
        <is>
          <t xml:space="preserve">g_and_a</t>
        </is>
      </c>
      <c r="E85" s="0" t="inlineStr">
        <is>
          <t xml:space="preserve">professional_fees</t>
        </is>
      </c>
      <c r="F85" s="4">
        <v>-10093</v>
      </c>
      <c r="G85" s="0" t="str">
        <f>"feb26"</f>
        <v>feb26</v>
      </c>
    </row>
    <row r="86">
      <c r="A86" s="0" t="inlineStr">
        <is>
          <t xml:space="preserve">j00085</t>
        </is>
      </c>
      <c r="B86" s="16">
        <v>46081</v>
      </c>
      <c r="C86" s="0" t="inlineStr">
        <is>
          <t xml:space="preserve">us</t>
        </is>
      </c>
      <c r="D86" s="0" t="inlineStr">
        <is>
          <t xml:space="preserve">g_and_a</t>
        </is>
      </c>
      <c r="E86" s="0" t="inlineStr">
        <is>
          <t xml:space="preserve">professional_fees</t>
        </is>
      </c>
      <c r="F86" s="4">
        <v>-25031</v>
      </c>
      <c r="G86" s="0" t="str">
        <f>"feb26"</f>
        <v>feb26</v>
      </c>
    </row>
    <row r="87">
      <c r="A87" s="0" t="inlineStr">
        <is>
          <t xml:space="preserve">j00086</t>
        </is>
      </c>
      <c r="B87" s="16">
        <v>46081</v>
      </c>
      <c r="C87" s="0" t="inlineStr">
        <is>
          <t xml:space="preserve">us</t>
        </is>
      </c>
      <c r="D87" s="0" t="inlineStr">
        <is>
          <t xml:space="preserve">g_and_a</t>
        </is>
      </c>
      <c r="E87" s="0" t="inlineStr">
        <is>
          <t xml:space="preserve">software</t>
        </is>
      </c>
      <c r="F87" s="4">
        <v>-5347</v>
      </c>
      <c r="G87" s="0" t="str">
        <f>"feb26"</f>
        <v>feb26</v>
      </c>
    </row>
    <row r="88">
      <c r="A88" s="0" t="inlineStr">
        <is>
          <t xml:space="preserve">j00087</t>
        </is>
      </c>
      <c r="B88" s="16">
        <v>46065</v>
      </c>
      <c r="C88" s="0" t="inlineStr">
        <is>
          <t xml:space="preserve">us</t>
        </is>
      </c>
      <c r="D88" s="0" t="inlineStr">
        <is>
          <t xml:space="preserve">g_and_a</t>
        </is>
      </c>
      <c r="E88" s="0" t="inlineStr">
        <is>
          <t xml:space="preserve">software</t>
        </is>
      </c>
      <c r="F88" s="4">
        <v>-5304</v>
      </c>
      <c r="G88" s="0" t="str">
        <f>"feb26"</f>
        <v>feb26</v>
      </c>
    </row>
    <row r="89">
      <c r="A89" s="0" t="inlineStr">
        <is>
          <t xml:space="preserve">j00088</t>
        </is>
      </c>
      <c r="B89" s="16">
        <v>46065</v>
      </c>
      <c r="C89" s="0" t="inlineStr">
        <is>
          <t xml:space="preserve">us</t>
        </is>
      </c>
      <c r="D89" s="0" t="inlineStr">
        <is>
          <t xml:space="preserve">g_and_a</t>
        </is>
      </c>
      <c r="E89" s="0" t="inlineStr">
        <is>
          <t xml:space="preserve">travel</t>
        </is>
      </c>
      <c r="F89" s="4">
        <v>-1167</v>
      </c>
      <c r="G89" s="0" t="str">
        <f>"feb26"</f>
        <v>feb26</v>
      </c>
    </row>
    <row r="90">
      <c r="A90" s="0" t="inlineStr">
        <is>
          <t xml:space="preserve">j00089</t>
        </is>
      </c>
      <c r="B90" s="16">
        <v>46058</v>
      </c>
      <c r="C90" s="0" t="inlineStr">
        <is>
          <t xml:space="preserve">us</t>
        </is>
      </c>
      <c r="D90" s="0" t="inlineStr">
        <is>
          <t xml:space="preserve">g_and_a</t>
        </is>
      </c>
      <c r="E90" s="0" t="inlineStr">
        <is>
          <t xml:space="preserve">travel</t>
        </is>
      </c>
      <c r="F90" s="4">
        <v>-2438</v>
      </c>
      <c r="G90" s="0" t="str">
        <f>"feb26"</f>
        <v>feb26</v>
      </c>
    </row>
    <row r="91">
      <c r="A91" s="0" t="inlineStr">
        <is>
          <t xml:space="preserve">j00090</t>
        </is>
      </c>
      <c r="B91" s="16">
        <v>46081</v>
      </c>
      <c r="C91" s="0" t="inlineStr">
        <is>
          <t xml:space="preserve">us</t>
        </is>
      </c>
      <c r="D91" s="0" t="inlineStr">
        <is>
          <t xml:space="preserve">g_and_a</t>
        </is>
      </c>
      <c r="E91" s="0" t="inlineStr">
        <is>
          <t xml:space="preserve">travel</t>
        </is>
      </c>
      <c r="F91" s="4">
        <v>-2623</v>
      </c>
      <c r="G91" s="0" t="str">
        <f>"feb26"</f>
        <v>feb26</v>
      </c>
    </row>
    <row r="92">
      <c r="A92" s="0" t="inlineStr">
        <is>
          <t xml:space="preserve">j00091</t>
        </is>
      </c>
      <c r="B92" s="16">
        <v>46068</v>
      </c>
      <c r="C92" s="0" t="inlineStr">
        <is>
          <t xml:space="preserve">us</t>
        </is>
      </c>
      <c r="D92" s="0" t="inlineStr">
        <is>
          <t xml:space="preserve">sales</t>
        </is>
      </c>
      <c r="E92" s="0" t="inlineStr">
        <is>
          <t xml:space="preserve">commissions</t>
        </is>
      </c>
      <c r="F92" s="4">
        <v>-67084</v>
      </c>
      <c r="G92" s="0" t="str">
        <f>"feb26"</f>
        <v>feb26</v>
      </c>
    </row>
    <row r="93">
      <c r="A93" s="0" t="inlineStr">
        <is>
          <t xml:space="preserve">j00092</t>
        </is>
      </c>
      <c r="B93" s="16">
        <v>46068</v>
      </c>
      <c r="C93" s="0" t="inlineStr">
        <is>
          <t xml:space="preserve">us</t>
        </is>
      </c>
      <c r="D93" s="0" t="inlineStr">
        <is>
          <t xml:space="preserve">sales</t>
        </is>
      </c>
      <c r="E93" s="0" t="inlineStr">
        <is>
          <t xml:space="preserve">commissions</t>
        </is>
      </c>
      <c r="F93" s="4">
        <v>-132286</v>
      </c>
      <c r="G93" s="0" t="str">
        <f>"feb26"</f>
        <v>feb26</v>
      </c>
    </row>
    <row r="94">
      <c r="A94" s="0" t="inlineStr">
        <is>
          <t xml:space="preserve">j00093</t>
        </is>
      </c>
      <c r="B94" s="16">
        <v>46068</v>
      </c>
      <c r="C94" s="0" t="inlineStr">
        <is>
          <t xml:space="preserve">us</t>
        </is>
      </c>
      <c r="D94" s="0" t="inlineStr">
        <is>
          <t xml:space="preserve">marketing</t>
        </is>
      </c>
      <c r="E94" s="0" t="inlineStr">
        <is>
          <t xml:space="preserve">marketing_programs</t>
        </is>
      </c>
      <c r="F94" s="4">
        <v>-351037</v>
      </c>
      <c r="G94" s="0" t="str">
        <f>"feb26"</f>
        <v>feb26</v>
      </c>
    </row>
    <row r="95">
      <c r="A95" s="0" t="inlineStr">
        <is>
          <t xml:space="preserve">j00094</t>
        </is>
      </c>
      <c r="B95" s="16">
        <v>46068</v>
      </c>
      <c r="C95" s="0" t="inlineStr">
        <is>
          <t xml:space="preserve">us</t>
        </is>
      </c>
      <c r="D95" s="0" t="inlineStr">
        <is>
          <t xml:space="preserve">engineering</t>
        </is>
      </c>
      <c r="E95" s="0" t="inlineStr">
        <is>
          <t xml:space="preserve">cloud</t>
        </is>
      </c>
      <c r="F95" s="4">
        <v>-223467</v>
      </c>
      <c r="G95" s="0" t="str">
        <f>"feb26"</f>
        <v>feb26</v>
      </c>
    </row>
    <row r="96">
      <c r="A96" s="0" t="inlineStr">
        <is>
          <t xml:space="preserve">j00095</t>
        </is>
      </c>
      <c r="B96" s="16">
        <v>46058</v>
      </c>
      <c r="C96" s="0" t="inlineStr">
        <is>
          <t xml:space="preserve">us</t>
        </is>
      </c>
      <c r="D96" s="0" t="inlineStr">
        <is>
          <t xml:space="preserve">engineering</t>
        </is>
      </c>
      <c r="E96" s="0" t="inlineStr">
        <is>
          <t xml:space="preserve">cloud</t>
        </is>
      </c>
      <c r="F96" s="4">
        <v>-63099</v>
      </c>
      <c r="G96" s="0" t="str">
        <f>"feb26"</f>
        <v>feb26</v>
      </c>
    </row>
    <row r="97">
      <c r="A97" s="0" t="inlineStr">
        <is>
          <t xml:space="preserve">j00096</t>
        </is>
      </c>
      <c r="B97" s="16">
        <v>46058</v>
      </c>
      <c r="C97" s="0" t="inlineStr">
        <is>
          <t xml:space="preserve">us</t>
        </is>
      </c>
      <c r="D97" s="0" t="inlineStr">
        <is>
          <t xml:space="preserve">engineering</t>
        </is>
      </c>
      <c r="E97" s="0" t="inlineStr">
        <is>
          <t xml:space="preserve">cloud</t>
        </is>
      </c>
      <c r="F97" s="4">
        <v>-94517</v>
      </c>
      <c r="G97" s="0" t="str">
        <f>"feb26"</f>
        <v>feb26</v>
      </c>
    </row>
    <row r="98">
      <c r="A98" s="0" t="inlineStr">
        <is>
          <t xml:space="preserve">j00097</t>
        </is>
      </c>
      <c r="B98" s="16">
        <v>46109</v>
      </c>
      <c r="C98" s="0" t="inlineStr">
        <is>
          <t xml:space="preserve">us</t>
        </is>
      </c>
      <c r="D98" s="0" t="inlineStr">
        <is>
          <t xml:space="preserve">company</t>
        </is>
      </c>
      <c r="E98" s="0" t="inlineStr">
        <is>
          <t xml:space="preserve">revenue</t>
        </is>
      </c>
      <c r="F98" s="4">
        <v>1960406</v>
      </c>
      <c r="G98" s="0" t="str">
        <f>"mar26"</f>
        <v>mar26</v>
      </c>
    </row>
    <row r="99">
      <c r="A99" s="0" t="inlineStr">
        <is>
          <t xml:space="preserve">j00098</t>
        </is>
      </c>
      <c r="B99" s="16">
        <v>46086</v>
      </c>
      <c r="C99" s="0" t="inlineStr">
        <is>
          <t xml:space="preserve">us</t>
        </is>
      </c>
      <c r="D99" s="0" t="inlineStr">
        <is>
          <t xml:space="preserve">company</t>
        </is>
      </c>
      <c r="E99" s="0" t="inlineStr">
        <is>
          <t xml:space="preserve">revenue</t>
        </is>
      </c>
      <c r="F99" s="4">
        <v>2410107</v>
      </c>
      <c r="G99" s="0" t="str">
        <f>"mar26"</f>
        <v>mar26</v>
      </c>
    </row>
    <row r="100">
      <c r="A100" s="0" t="inlineStr">
        <is>
          <t xml:space="preserve">j00099</t>
        </is>
      </c>
      <c r="B100" s="16">
        <v>46086</v>
      </c>
      <c r="C100" s="0" t="inlineStr">
        <is>
          <t xml:space="preserve">us</t>
        </is>
      </c>
      <c r="D100" s="0" t="inlineStr">
        <is>
          <t xml:space="preserve">company</t>
        </is>
      </c>
      <c r="E100" s="0" t="inlineStr">
        <is>
          <t xml:space="preserve">cogs_hosting</t>
        </is>
      </c>
      <c r="F100" s="4">
        <v>-160359</v>
      </c>
      <c r="G100" s="0" t="str">
        <f>"mar26"</f>
        <v>mar26</v>
      </c>
    </row>
    <row r="101">
      <c r="A101" s="0" t="inlineStr">
        <is>
          <t xml:space="preserve">j00100</t>
        </is>
      </c>
      <c r="B101" s="16">
        <v>46096</v>
      </c>
      <c r="C101" s="0" t="inlineStr">
        <is>
          <t xml:space="preserve">us</t>
        </is>
      </c>
      <c r="D101" s="0" t="inlineStr">
        <is>
          <t xml:space="preserve">company</t>
        </is>
      </c>
      <c r="E101" s="0" t="inlineStr">
        <is>
          <t xml:space="preserve">cogs_hosting</t>
        </is>
      </c>
      <c r="F101" s="4">
        <v>-134219</v>
      </c>
      <c r="G101" s="0" t="str">
        <f>"mar26"</f>
        <v>mar26</v>
      </c>
    </row>
    <row r="102">
      <c r="A102" s="0" t="inlineStr">
        <is>
          <t xml:space="preserve">j00101</t>
        </is>
      </c>
      <c r="B102" s="16">
        <v>46109</v>
      </c>
      <c r="C102" s="0" t="inlineStr">
        <is>
          <t xml:space="preserve">us</t>
        </is>
      </c>
      <c r="D102" s="0" t="inlineStr">
        <is>
          <t xml:space="preserve">company</t>
        </is>
      </c>
      <c r="E102" s="0" t="inlineStr">
        <is>
          <t xml:space="preserve">cogs_hosting</t>
        </is>
      </c>
      <c r="F102" s="4">
        <v>-198521</v>
      </c>
      <c r="G102" s="0" t="str">
        <f>"mar26"</f>
        <v>mar26</v>
      </c>
    </row>
    <row r="103">
      <c r="A103" s="0" t="inlineStr">
        <is>
          <t xml:space="preserve">j00102</t>
        </is>
      </c>
      <c r="B103" s="16">
        <v>46101</v>
      </c>
      <c r="C103" s="0" t="inlineStr">
        <is>
          <t xml:space="preserve">us</t>
        </is>
      </c>
      <c r="D103" s="0" t="inlineStr">
        <is>
          <t xml:space="preserve">company</t>
        </is>
      </c>
      <c r="E103" s="0" t="inlineStr">
        <is>
          <t xml:space="preserve">cogs_support</t>
        </is>
      </c>
      <c r="F103" s="4">
        <v>-61838</v>
      </c>
      <c r="G103" s="0" t="str">
        <f>"mar26"</f>
        <v>mar26</v>
      </c>
    </row>
    <row r="104">
      <c r="A104" s="0" t="inlineStr">
        <is>
          <t xml:space="preserve">j00103</t>
        </is>
      </c>
      <c r="B104" s="16">
        <v>46086</v>
      </c>
      <c r="C104" s="0" t="inlineStr">
        <is>
          <t xml:space="preserve">us</t>
        </is>
      </c>
      <c r="D104" s="0" t="inlineStr">
        <is>
          <t xml:space="preserve">company</t>
        </is>
      </c>
      <c r="E104" s="0" t="inlineStr">
        <is>
          <t xml:space="preserve">cogs_support</t>
        </is>
      </c>
      <c r="F104" s="4">
        <v>-116682</v>
      </c>
      <c r="G104" s="0" t="str">
        <f>"mar26"</f>
        <v>mar26</v>
      </c>
    </row>
    <row r="105">
      <c r="A105" s="0" t="inlineStr">
        <is>
          <t xml:space="preserve">j00104</t>
        </is>
      </c>
      <c r="B105" s="16">
        <v>46096</v>
      </c>
      <c r="C105" s="0" t="inlineStr">
        <is>
          <t xml:space="preserve">us</t>
        </is>
      </c>
      <c r="D105" s="0" t="inlineStr">
        <is>
          <t xml:space="preserve">company</t>
        </is>
      </c>
      <c r="E105" s="0" t="inlineStr">
        <is>
          <t xml:space="preserve">cogs_support</t>
        </is>
      </c>
      <c r="F105" s="4">
        <v>-37364</v>
      </c>
      <c r="G105" s="0" t="str">
        <f>"mar26"</f>
        <v>mar26</v>
      </c>
    </row>
    <row r="106">
      <c r="A106" s="0" t="inlineStr">
        <is>
          <t xml:space="preserve">j00105</t>
        </is>
      </c>
      <c r="B106" s="16">
        <v>46106</v>
      </c>
      <c r="C106" s="0" t="inlineStr">
        <is>
          <t xml:space="preserve">us</t>
        </is>
      </c>
      <c r="D106" s="0" t="inlineStr">
        <is>
          <t xml:space="preserve">sales</t>
        </is>
      </c>
      <c r="E106" s="0" t="inlineStr">
        <is>
          <t xml:space="preserve">salaries</t>
        </is>
      </c>
      <c r="F106" s="4">
        <v>-285280</v>
      </c>
      <c r="G106" s="0" t="str">
        <f>"mar26"</f>
        <v>mar26</v>
      </c>
    </row>
    <row r="107">
      <c r="A107" s="0" t="inlineStr">
        <is>
          <t xml:space="preserve">j00106</t>
        </is>
      </c>
      <c r="B107" s="16">
        <v>46086</v>
      </c>
      <c r="C107" s="0" t="inlineStr">
        <is>
          <t xml:space="preserve">us</t>
        </is>
      </c>
      <c r="D107" s="0" t="inlineStr">
        <is>
          <t xml:space="preserve">sales</t>
        </is>
      </c>
      <c r="E107" s="0" t="inlineStr">
        <is>
          <t xml:space="preserve">benefits</t>
        </is>
      </c>
      <c r="F107" s="4">
        <v>-65612</v>
      </c>
      <c r="G107" s="0" t="str">
        <f>"mar26"</f>
        <v>mar26</v>
      </c>
    </row>
    <row r="108">
      <c r="A108" s="0" t="inlineStr">
        <is>
          <t xml:space="preserve">j00107</t>
        </is>
      </c>
      <c r="B108" s="16">
        <v>46086</v>
      </c>
      <c r="C108" s="0" t="inlineStr">
        <is>
          <t xml:space="preserve">us</t>
        </is>
      </c>
      <c r="D108" s="0" t="inlineStr">
        <is>
          <t xml:space="preserve">sales</t>
        </is>
      </c>
      <c r="E108" s="0" t="inlineStr">
        <is>
          <t xml:space="preserve">travel</t>
        </is>
      </c>
      <c r="F108" s="4">
        <v>-27511</v>
      </c>
      <c r="G108" s="0" t="str">
        <f>"mar26"</f>
        <v>mar26</v>
      </c>
    </row>
    <row r="109">
      <c r="A109" s="0" t="inlineStr">
        <is>
          <t xml:space="preserve">j00108</t>
        </is>
      </c>
      <c r="B109" s="16">
        <v>46109</v>
      </c>
      <c r="C109" s="0" t="inlineStr">
        <is>
          <t xml:space="preserve">us</t>
        </is>
      </c>
      <c r="D109" s="0" t="inlineStr">
        <is>
          <t xml:space="preserve">sales</t>
        </is>
      </c>
      <c r="E109" s="0" t="inlineStr">
        <is>
          <t xml:space="preserve">travel</t>
        </is>
      </c>
      <c r="F109" s="4">
        <v>-15944</v>
      </c>
      <c r="G109" s="0" t="str">
        <f>"mar26"</f>
        <v>mar26</v>
      </c>
    </row>
    <row r="110">
      <c r="A110" s="0" t="inlineStr">
        <is>
          <t xml:space="preserve">j00109</t>
        </is>
      </c>
      <c r="B110" s="16">
        <v>46086</v>
      </c>
      <c r="C110" s="0" t="inlineStr">
        <is>
          <t xml:space="preserve">us</t>
        </is>
      </c>
      <c r="D110" s="0" t="inlineStr">
        <is>
          <t xml:space="preserve">sales</t>
        </is>
      </c>
      <c r="E110" s="0" t="inlineStr">
        <is>
          <t xml:space="preserve">software</t>
        </is>
      </c>
      <c r="F110" s="4">
        <v>-9404</v>
      </c>
      <c r="G110" s="0" t="str">
        <f>"mar26"</f>
        <v>mar26</v>
      </c>
    </row>
    <row r="111">
      <c r="A111" s="0" t="inlineStr">
        <is>
          <t xml:space="preserve">j00110</t>
        </is>
      </c>
      <c r="B111" s="16">
        <v>46106</v>
      </c>
      <c r="C111" s="0" t="inlineStr">
        <is>
          <t xml:space="preserve">us</t>
        </is>
      </c>
      <c r="D111" s="0" t="inlineStr">
        <is>
          <t xml:space="preserve">marketing</t>
        </is>
      </c>
      <c r="E111" s="0" t="inlineStr">
        <is>
          <t xml:space="preserve">salaries</t>
        </is>
      </c>
      <c r="F111" s="4">
        <v>-115634</v>
      </c>
      <c r="G111" s="0" t="str">
        <f>"mar26"</f>
        <v>mar26</v>
      </c>
    </row>
    <row r="112">
      <c r="A112" s="0" t="inlineStr">
        <is>
          <t xml:space="preserve">j00111</t>
        </is>
      </c>
      <c r="B112" s="16">
        <v>46109</v>
      </c>
      <c r="C112" s="0" t="inlineStr">
        <is>
          <t xml:space="preserve">us</t>
        </is>
      </c>
      <c r="D112" s="0" t="inlineStr">
        <is>
          <t xml:space="preserve">marketing</t>
        </is>
      </c>
      <c r="E112" s="0" t="inlineStr">
        <is>
          <t xml:space="preserve">benefits</t>
        </is>
      </c>
      <c r="F112" s="4">
        <v>-25215</v>
      </c>
      <c r="G112" s="0" t="str">
        <f>"mar26"</f>
        <v>mar26</v>
      </c>
    </row>
    <row r="113">
      <c r="A113" s="0" t="inlineStr">
        <is>
          <t xml:space="preserve">j00112</t>
        </is>
      </c>
      <c r="B113" s="16">
        <v>46096</v>
      </c>
      <c r="C113" s="0" t="inlineStr">
        <is>
          <t xml:space="preserve">us</t>
        </is>
      </c>
      <c r="D113" s="0" t="inlineStr">
        <is>
          <t xml:space="preserve">marketing</t>
        </is>
      </c>
      <c r="E113" s="0" t="inlineStr">
        <is>
          <t xml:space="preserve">software</t>
        </is>
      </c>
      <c r="F113" s="4">
        <v>-3897</v>
      </c>
      <c r="G113" s="0" t="str">
        <f>"mar26"</f>
        <v>mar26</v>
      </c>
    </row>
    <row r="114">
      <c r="A114" s="0" t="inlineStr">
        <is>
          <t xml:space="preserve">j00113</t>
        </is>
      </c>
      <c r="B114" s="16">
        <v>46101</v>
      </c>
      <c r="C114" s="0" t="inlineStr">
        <is>
          <t xml:space="preserve">us</t>
        </is>
      </c>
      <c r="D114" s="0" t="inlineStr">
        <is>
          <t xml:space="preserve">marketing</t>
        </is>
      </c>
      <c r="E114" s="0" t="inlineStr">
        <is>
          <t xml:space="preserve">software</t>
        </is>
      </c>
      <c r="F114" s="4">
        <v>-10408</v>
      </c>
      <c r="G114" s="0" t="str">
        <f>"mar26"</f>
        <v>mar26</v>
      </c>
    </row>
    <row r="115">
      <c r="A115" s="0" t="inlineStr">
        <is>
          <t xml:space="preserve">j00114</t>
        </is>
      </c>
      <c r="B115" s="16">
        <v>46086</v>
      </c>
      <c r="C115" s="0" t="inlineStr">
        <is>
          <t xml:space="preserve">us</t>
        </is>
      </c>
      <c r="D115" s="0" t="inlineStr">
        <is>
          <t xml:space="preserve">marketing</t>
        </is>
      </c>
      <c r="E115" s="0" t="inlineStr">
        <is>
          <t xml:space="preserve">travel</t>
        </is>
      </c>
      <c r="F115" s="4">
        <v>-4511</v>
      </c>
      <c r="G115" s="0" t="str">
        <f>"mar26"</f>
        <v>mar26</v>
      </c>
    </row>
    <row r="116">
      <c r="A116" s="0" t="inlineStr">
        <is>
          <t xml:space="preserve">j00115</t>
        </is>
      </c>
      <c r="B116" s="16">
        <v>46109</v>
      </c>
      <c r="C116" s="0" t="inlineStr">
        <is>
          <t xml:space="preserve">us</t>
        </is>
      </c>
      <c r="D116" s="0" t="inlineStr">
        <is>
          <t xml:space="preserve">marketing</t>
        </is>
      </c>
      <c r="E116" s="0" t="inlineStr">
        <is>
          <t xml:space="preserve">travel</t>
        </is>
      </c>
      <c r="F116" s="4">
        <v>-5037</v>
      </c>
      <c r="G116" s="0" t="str">
        <f>"mar26"</f>
        <v>mar26</v>
      </c>
    </row>
    <row r="117">
      <c r="A117" s="0" t="inlineStr">
        <is>
          <t xml:space="preserve">j00116</t>
        </is>
      </c>
      <c r="B117" s="16">
        <v>46109</v>
      </c>
      <c r="C117" s="0" t="inlineStr">
        <is>
          <t xml:space="preserve">us</t>
        </is>
      </c>
      <c r="D117" s="0" t="inlineStr">
        <is>
          <t xml:space="preserve">marketing</t>
        </is>
      </c>
      <c r="E117" s="0" t="inlineStr">
        <is>
          <t xml:space="preserve">travel</t>
        </is>
      </c>
      <c r="F117" s="4">
        <v>-2266</v>
      </c>
      <c r="G117" s="0" t="str">
        <f>"mar26"</f>
        <v>mar26</v>
      </c>
    </row>
    <row r="118">
      <c r="A118" s="0" t="inlineStr">
        <is>
          <t xml:space="preserve">j00117</t>
        </is>
      </c>
      <c r="B118" s="16">
        <v>46106</v>
      </c>
      <c r="C118" s="0" t="inlineStr">
        <is>
          <t xml:space="preserve">us</t>
        </is>
      </c>
      <c r="D118" s="0" t="inlineStr">
        <is>
          <t xml:space="preserve">engineering</t>
        </is>
      </c>
      <c r="E118" s="0" t="inlineStr">
        <is>
          <t xml:space="preserve">salaries</t>
        </is>
      </c>
      <c r="F118" s="4">
        <v>-681570</v>
      </c>
      <c r="G118" s="0" t="str">
        <f>"mar26"</f>
        <v>mar26</v>
      </c>
    </row>
    <row r="119">
      <c r="A119" s="0" t="inlineStr">
        <is>
          <t xml:space="preserve">j00118</t>
        </is>
      </c>
      <c r="B119" s="16">
        <v>46096</v>
      </c>
      <c r="C119" s="0" t="inlineStr">
        <is>
          <t xml:space="preserve">us</t>
        </is>
      </c>
      <c r="D119" s="0" t="inlineStr">
        <is>
          <t xml:space="preserve">engineering</t>
        </is>
      </c>
      <c r="E119" s="0" t="inlineStr">
        <is>
          <t xml:space="preserve">benefits</t>
        </is>
      </c>
      <c r="F119" s="4">
        <v>-142184</v>
      </c>
      <c r="G119" s="0" t="str">
        <f>"mar26"</f>
        <v>mar26</v>
      </c>
    </row>
    <row r="120">
      <c r="A120" s="0" t="inlineStr">
        <is>
          <t xml:space="preserve">j00119</t>
        </is>
      </c>
      <c r="B120" s="16">
        <v>46109</v>
      </c>
      <c r="C120" s="0" t="inlineStr">
        <is>
          <t xml:space="preserve">us</t>
        </is>
      </c>
      <c r="D120" s="0" t="inlineStr">
        <is>
          <t xml:space="preserve">engineering</t>
        </is>
      </c>
      <c r="E120" s="0" t="inlineStr">
        <is>
          <t xml:space="preserve">contractors</t>
        </is>
      </c>
      <c r="F120" s="4">
        <v>-19186</v>
      </c>
      <c r="G120" s="0" t="str">
        <f>"mar26"</f>
        <v>mar26</v>
      </c>
    </row>
    <row r="121">
      <c r="A121" s="0" t="inlineStr">
        <is>
          <t xml:space="preserve">j00120</t>
        </is>
      </c>
      <c r="B121" s="16">
        <v>46086</v>
      </c>
      <c r="C121" s="0" t="inlineStr">
        <is>
          <t xml:space="preserve">us</t>
        </is>
      </c>
      <c r="D121" s="0" t="inlineStr">
        <is>
          <t xml:space="preserve">engineering</t>
        </is>
      </c>
      <c r="E121" s="0" t="inlineStr">
        <is>
          <t xml:space="preserve">contractors</t>
        </is>
      </c>
      <c r="F121" s="4">
        <v>-33634</v>
      </c>
      <c r="G121" s="0" t="str">
        <f>"mar26"</f>
        <v>mar26</v>
      </c>
    </row>
    <row r="122">
      <c r="A122" s="0" t="inlineStr">
        <is>
          <t xml:space="preserve">j00121</t>
        </is>
      </c>
      <c r="B122" s="16">
        <v>46093</v>
      </c>
      <c r="C122" s="0" t="inlineStr">
        <is>
          <t xml:space="preserve">us</t>
        </is>
      </c>
      <c r="D122" s="0" t="inlineStr">
        <is>
          <t xml:space="preserve">engineering</t>
        </is>
      </c>
      <c r="E122" s="0" t="inlineStr">
        <is>
          <t xml:space="preserve">contractors</t>
        </is>
      </c>
      <c r="F122" s="4">
        <v>-11724</v>
      </c>
      <c r="G122" s="0" t="str">
        <f>"mar26"</f>
        <v>mar26</v>
      </c>
    </row>
    <row r="123">
      <c r="A123" s="0" t="inlineStr">
        <is>
          <t xml:space="preserve">j00122</t>
        </is>
      </c>
      <c r="B123" s="16">
        <v>46096</v>
      </c>
      <c r="C123" s="0" t="inlineStr">
        <is>
          <t xml:space="preserve">us</t>
        </is>
      </c>
      <c r="D123" s="0" t="inlineStr">
        <is>
          <t xml:space="preserve">engineering</t>
        </is>
      </c>
      <c r="E123" s="0" t="inlineStr">
        <is>
          <t xml:space="preserve">software</t>
        </is>
      </c>
      <c r="F123" s="4">
        <v>-8702</v>
      </c>
      <c r="G123" s="0" t="str">
        <f>"mar26"</f>
        <v>mar26</v>
      </c>
    </row>
    <row r="124">
      <c r="A124" s="0" t="inlineStr">
        <is>
          <t xml:space="preserve">j00123</t>
        </is>
      </c>
      <c r="B124" s="16">
        <v>46086</v>
      </c>
      <c r="C124" s="0" t="inlineStr">
        <is>
          <t xml:space="preserve">us</t>
        </is>
      </c>
      <c r="D124" s="0" t="inlineStr">
        <is>
          <t xml:space="preserve">engineering</t>
        </is>
      </c>
      <c r="E124" s="0" t="inlineStr">
        <is>
          <t xml:space="preserve">software</t>
        </is>
      </c>
      <c r="F124" s="4">
        <v>-11144</v>
      </c>
      <c r="G124" s="0" t="str">
        <f>"mar26"</f>
        <v>mar26</v>
      </c>
    </row>
    <row r="125">
      <c r="A125" s="0" t="inlineStr">
        <is>
          <t xml:space="preserve">j00124</t>
        </is>
      </c>
      <c r="B125" s="16">
        <v>46106</v>
      </c>
      <c r="C125" s="0" t="inlineStr">
        <is>
          <t xml:space="preserve">us</t>
        </is>
      </c>
      <c r="D125" s="0" t="inlineStr">
        <is>
          <t xml:space="preserve">customer_success</t>
        </is>
      </c>
      <c r="E125" s="0" t="inlineStr">
        <is>
          <t xml:space="preserve">salaries</t>
        </is>
      </c>
      <c r="F125" s="4">
        <v>-116378</v>
      </c>
      <c r="G125" s="0" t="str">
        <f>"mar26"</f>
        <v>mar26</v>
      </c>
    </row>
    <row r="126">
      <c r="A126" s="0" t="inlineStr">
        <is>
          <t xml:space="preserve">j00125</t>
        </is>
      </c>
      <c r="B126" s="16">
        <v>46093</v>
      </c>
      <c r="C126" s="0" t="inlineStr">
        <is>
          <t xml:space="preserve">us</t>
        </is>
      </c>
      <c r="D126" s="0" t="inlineStr">
        <is>
          <t xml:space="preserve">customer_success</t>
        </is>
      </c>
      <c r="E126" s="0" t="inlineStr">
        <is>
          <t xml:space="preserve">benefits</t>
        </is>
      </c>
      <c r="F126" s="4">
        <v>-29272</v>
      </c>
      <c r="G126" s="0" t="str">
        <f>"mar26"</f>
        <v>mar26</v>
      </c>
    </row>
    <row r="127">
      <c r="A127" s="0" t="inlineStr">
        <is>
          <t xml:space="preserve">j00126</t>
        </is>
      </c>
      <c r="B127" s="16">
        <v>46101</v>
      </c>
      <c r="C127" s="0" t="inlineStr">
        <is>
          <t xml:space="preserve">us</t>
        </is>
      </c>
      <c r="D127" s="0" t="inlineStr">
        <is>
          <t xml:space="preserve">customer_success</t>
        </is>
      </c>
      <c r="E127" s="0" t="inlineStr">
        <is>
          <t xml:space="preserve">software</t>
        </is>
      </c>
      <c r="F127" s="4">
        <v>-3609</v>
      </c>
      <c r="G127" s="0" t="str">
        <f>"mar26"</f>
        <v>mar26</v>
      </c>
    </row>
    <row r="128">
      <c r="A128" s="0" t="inlineStr">
        <is>
          <t xml:space="preserve">j00127</t>
        </is>
      </c>
      <c r="B128" s="16">
        <v>46096</v>
      </c>
      <c r="C128" s="0" t="inlineStr">
        <is>
          <t xml:space="preserve">us</t>
        </is>
      </c>
      <c r="D128" s="0" t="inlineStr">
        <is>
          <t xml:space="preserve">customer_success</t>
        </is>
      </c>
      <c r="E128" s="0" t="inlineStr">
        <is>
          <t xml:space="preserve">software</t>
        </is>
      </c>
      <c r="F128" s="4">
        <v>-3546</v>
      </c>
      <c r="G128" s="0" t="str">
        <f>"mar26"</f>
        <v>mar26</v>
      </c>
    </row>
    <row r="129">
      <c r="A129" s="0" t="inlineStr">
        <is>
          <t xml:space="preserve">j00128</t>
        </is>
      </c>
      <c r="B129" s="16">
        <v>46096</v>
      </c>
      <c r="C129" s="0" t="inlineStr">
        <is>
          <t xml:space="preserve">us</t>
        </is>
      </c>
      <c r="D129" s="0" t="inlineStr">
        <is>
          <t xml:space="preserve">customer_success</t>
        </is>
      </c>
      <c r="E129" s="0" t="inlineStr">
        <is>
          <t xml:space="preserve">travel</t>
        </is>
      </c>
      <c r="F129" s="4">
        <v>-2357</v>
      </c>
      <c r="G129" s="0" t="str">
        <f>"mar26"</f>
        <v>mar26</v>
      </c>
    </row>
    <row r="130">
      <c r="A130" s="0" t="inlineStr">
        <is>
          <t xml:space="preserve">j00129</t>
        </is>
      </c>
      <c r="B130" s="16">
        <v>46101</v>
      </c>
      <c r="C130" s="0" t="inlineStr">
        <is>
          <t xml:space="preserve">us</t>
        </is>
      </c>
      <c r="D130" s="0" t="inlineStr">
        <is>
          <t xml:space="preserve">customer_success</t>
        </is>
      </c>
      <c r="E130" s="0" t="inlineStr">
        <is>
          <t xml:space="preserve">travel</t>
        </is>
      </c>
      <c r="F130" s="4">
        <v>-1834</v>
      </c>
      <c r="G130" s="0" t="str">
        <f>"mar26"</f>
        <v>mar26</v>
      </c>
    </row>
    <row r="131">
      <c r="A131" s="0" t="inlineStr">
        <is>
          <t xml:space="preserve">j00130</t>
        </is>
      </c>
      <c r="B131" s="16">
        <v>46106</v>
      </c>
      <c r="C131" s="0" t="inlineStr">
        <is>
          <t xml:space="preserve">us</t>
        </is>
      </c>
      <c r="D131" s="0" t="inlineStr">
        <is>
          <t xml:space="preserve">g_and_a</t>
        </is>
      </c>
      <c r="E131" s="0" t="inlineStr">
        <is>
          <t xml:space="preserve">salaries</t>
        </is>
      </c>
      <c r="F131" s="4">
        <v>-123630</v>
      </c>
      <c r="G131" s="0" t="str">
        <f>"mar26"</f>
        <v>mar26</v>
      </c>
    </row>
    <row r="132">
      <c r="A132" s="0" t="inlineStr">
        <is>
          <t xml:space="preserve">j00131</t>
        </is>
      </c>
      <c r="B132" s="16">
        <v>46109</v>
      </c>
      <c r="C132" s="0" t="inlineStr">
        <is>
          <t xml:space="preserve">us</t>
        </is>
      </c>
      <c r="D132" s="0" t="inlineStr">
        <is>
          <t xml:space="preserve">g_and_a</t>
        </is>
      </c>
      <c r="E132" s="0" t="inlineStr">
        <is>
          <t xml:space="preserve">benefits</t>
        </is>
      </c>
      <c r="F132" s="4">
        <v>-25343</v>
      </c>
      <c r="G132" s="0" t="str">
        <f>"mar26"</f>
        <v>mar26</v>
      </c>
    </row>
    <row r="133">
      <c r="A133" s="0" t="inlineStr">
        <is>
          <t xml:space="preserve">j00132</t>
        </is>
      </c>
      <c r="B133" s="16">
        <v>46093</v>
      </c>
      <c r="C133" s="0" t="inlineStr">
        <is>
          <t xml:space="preserve">us</t>
        </is>
      </c>
      <c r="D133" s="0" t="inlineStr">
        <is>
          <t xml:space="preserve">g_and_a</t>
        </is>
      </c>
      <c r="E133" s="0" t="inlineStr">
        <is>
          <t xml:space="preserve">rent</t>
        </is>
      </c>
      <c r="F133" s="4">
        <v>-87549</v>
      </c>
      <c r="G133" s="0" t="str">
        <f>"mar26"</f>
        <v>mar26</v>
      </c>
    </row>
    <row r="134">
      <c r="A134" s="0" t="inlineStr">
        <is>
          <t xml:space="preserve">j00133</t>
        </is>
      </c>
      <c r="B134" s="16">
        <v>46109</v>
      </c>
      <c r="C134" s="0" t="inlineStr">
        <is>
          <t xml:space="preserve">us</t>
        </is>
      </c>
      <c r="D134" s="0" t="inlineStr">
        <is>
          <t xml:space="preserve">g_and_a</t>
        </is>
      </c>
      <c r="E134" s="0" t="inlineStr">
        <is>
          <t xml:space="preserve">professional_fees</t>
        </is>
      </c>
      <c r="F134" s="4">
        <v>-33727</v>
      </c>
      <c r="G134" s="0" t="str">
        <f>"mar26"</f>
        <v>mar26</v>
      </c>
    </row>
    <row r="135">
      <c r="A135" s="0" t="inlineStr">
        <is>
          <t xml:space="preserve">j00134</t>
        </is>
      </c>
      <c r="B135" s="16">
        <v>46096</v>
      </c>
      <c r="C135" s="0" t="inlineStr">
        <is>
          <t xml:space="preserve">us</t>
        </is>
      </c>
      <c r="D135" s="0" t="inlineStr">
        <is>
          <t xml:space="preserve">g_and_a</t>
        </is>
      </c>
      <c r="E135" s="0" t="inlineStr">
        <is>
          <t xml:space="preserve">software</t>
        </is>
      </c>
      <c r="F135" s="4">
        <v>-4938</v>
      </c>
      <c r="G135" s="0" t="str">
        <f>"mar26"</f>
        <v>mar26</v>
      </c>
    </row>
    <row r="136">
      <c r="A136" s="0" t="inlineStr">
        <is>
          <t xml:space="preserve">j00135</t>
        </is>
      </c>
      <c r="B136" s="16">
        <v>46109</v>
      </c>
      <c r="C136" s="0" t="inlineStr">
        <is>
          <t xml:space="preserve">us</t>
        </is>
      </c>
      <c r="D136" s="0" t="inlineStr">
        <is>
          <t xml:space="preserve">g_and_a</t>
        </is>
      </c>
      <c r="E136" s="0" t="inlineStr">
        <is>
          <t xml:space="preserve">software</t>
        </is>
      </c>
      <c r="F136" s="4">
        <v>-4233</v>
      </c>
      <c r="G136" s="0" t="str">
        <f>"mar26"</f>
        <v>mar26</v>
      </c>
    </row>
    <row r="137">
      <c r="A137" s="0" t="inlineStr">
        <is>
          <t xml:space="preserve">j00136</t>
        </is>
      </c>
      <c r="B137" s="16">
        <v>46096</v>
      </c>
      <c r="C137" s="0" t="inlineStr">
        <is>
          <t xml:space="preserve">us</t>
        </is>
      </c>
      <c r="D137" s="0" t="inlineStr">
        <is>
          <t xml:space="preserve">g_and_a</t>
        </is>
      </c>
      <c r="E137" s="0" t="inlineStr">
        <is>
          <t xml:space="preserve">software</t>
        </is>
      </c>
      <c r="F137" s="4">
        <v>-1732</v>
      </c>
      <c r="G137" s="0" t="str">
        <f>"mar26"</f>
        <v>mar26</v>
      </c>
    </row>
    <row r="138">
      <c r="A138" s="0" t="inlineStr">
        <is>
          <t xml:space="preserve">j00137</t>
        </is>
      </c>
      <c r="B138" s="16">
        <v>46109</v>
      </c>
      <c r="C138" s="0" t="inlineStr">
        <is>
          <t xml:space="preserve">us</t>
        </is>
      </c>
      <c r="D138" s="0" t="inlineStr">
        <is>
          <t xml:space="preserve">g_and_a</t>
        </is>
      </c>
      <c r="E138" s="0" t="inlineStr">
        <is>
          <t xml:space="preserve">travel</t>
        </is>
      </c>
      <c r="F138" s="4">
        <v>-6403</v>
      </c>
      <c r="G138" s="0" t="str">
        <f>"mar26"</f>
        <v>mar26</v>
      </c>
    </row>
    <row r="139">
      <c r="A139" s="0" t="inlineStr">
        <is>
          <t xml:space="preserve">j00138</t>
        </is>
      </c>
      <c r="B139" s="16">
        <v>46101</v>
      </c>
      <c r="C139" s="0" t="inlineStr">
        <is>
          <t xml:space="preserve">us</t>
        </is>
      </c>
      <c r="D139" s="0" t="inlineStr">
        <is>
          <t xml:space="preserve">sales</t>
        </is>
      </c>
      <c r="E139" s="0" t="inlineStr">
        <is>
          <t xml:space="preserve">commissions</t>
        </is>
      </c>
      <c r="F139" s="4">
        <v>-91055</v>
      </c>
      <c r="G139" s="0" t="str">
        <f>"mar26"</f>
        <v>mar26</v>
      </c>
    </row>
    <row r="140">
      <c r="A140" s="0" t="inlineStr">
        <is>
          <t xml:space="preserve">j00139</t>
        </is>
      </c>
      <c r="B140" s="16">
        <v>46109</v>
      </c>
      <c r="C140" s="0" t="inlineStr">
        <is>
          <t xml:space="preserve">us</t>
        </is>
      </c>
      <c r="D140" s="0" t="inlineStr">
        <is>
          <t xml:space="preserve">sales</t>
        </is>
      </c>
      <c r="E140" s="0" t="inlineStr">
        <is>
          <t xml:space="preserve">commissions</t>
        </is>
      </c>
      <c r="F140" s="4">
        <v>-131011</v>
      </c>
      <c r="G140" s="0" t="str">
        <f>"mar26"</f>
        <v>mar26</v>
      </c>
    </row>
    <row r="141">
      <c r="A141" s="0" t="inlineStr">
        <is>
          <t xml:space="preserve">j00140</t>
        </is>
      </c>
      <c r="B141" s="16">
        <v>46093</v>
      </c>
      <c r="C141" s="0" t="inlineStr">
        <is>
          <t xml:space="preserve">us</t>
        </is>
      </c>
      <c r="D141" s="0" t="inlineStr">
        <is>
          <t xml:space="preserve">marketing</t>
        </is>
      </c>
      <c r="E141" s="0" t="inlineStr">
        <is>
          <t xml:space="preserve">marketing_programs</t>
        </is>
      </c>
      <c r="F141" s="4">
        <v>-295940</v>
      </c>
      <c r="G141" s="0" t="str">
        <f>"mar26"</f>
        <v>mar26</v>
      </c>
    </row>
    <row r="142">
      <c r="A142" s="0" t="inlineStr">
        <is>
          <t xml:space="preserve">j00141</t>
        </is>
      </c>
      <c r="B142" s="16">
        <v>46101</v>
      </c>
      <c r="C142" s="0" t="inlineStr">
        <is>
          <t xml:space="preserve">us</t>
        </is>
      </c>
      <c r="D142" s="0" t="inlineStr">
        <is>
          <t xml:space="preserve">marketing</t>
        </is>
      </c>
      <c r="E142" s="0" t="inlineStr">
        <is>
          <t xml:space="preserve">marketing_programs</t>
        </is>
      </c>
      <c r="F142" s="4">
        <v>-94717</v>
      </c>
      <c r="G142" s="0" t="str">
        <f>"mar26"</f>
        <v>mar26</v>
      </c>
    </row>
    <row r="143">
      <c r="A143" s="0" t="inlineStr">
        <is>
          <t xml:space="preserve">j00142</t>
        </is>
      </c>
      <c r="B143" s="16">
        <v>46109</v>
      </c>
      <c r="C143" s="0" t="inlineStr">
        <is>
          <t xml:space="preserve">us</t>
        </is>
      </c>
      <c r="D143" s="0" t="inlineStr">
        <is>
          <t xml:space="preserve">engineering</t>
        </is>
      </c>
      <c r="E143" s="0" t="inlineStr">
        <is>
          <t xml:space="preserve">cloud</t>
        </is>
      </c>
      <c r="F143" s="4">
        <v>-226474</v>
      </c>
      <c r="G143" s="0" t="str">
        <f>"mar26"</f>
        <v>mar26</v>
      </c>
    </row>
    <row r="144">
      <c r="A144" s="0" t="inlineStr">
        <is>
          <t xml:space="preserve">j00143</t>
        </is>
      </c>
      <c r="B144" s="16">
        <v>46093</v>
      </c>
      <c r="C144" s="0" t="inlineStr">
        <is>
          <t xml:space="preserve">us</t>
        </is>
      </c>
      <c r="D144" s="0" t="inlineStr">
        <is>
          <t xml:space="preserve">engineering</t>
        </is>
      </c>
      <c r="E144" s="0" t="inlineStr">
        <is>
          <t xml:space="preserve">cloud</t>
        </is>
      </c>
      <c r="F144" s="4">
        <v>-163122</v>
      </c>
      <c r="G144" s="0" t="str">
        <f>"mar26"</f>
        <v>mar26</v>
      </c>
    </row>
    <row r="145">
      <c r="A145" s="0" t="inlineStr">
        <is>
          <t xml:space="preserve">j00144</t>
        </is>
      </c>
      <c r="B145" s="16">
        <v>46124</v>
      </c>
      <c r="C145" s="0" t="inlineStr">
        <is>
          <t xml:space="preserve">us</t>
        </is>
      </c>
      <c r="D145" s="0" t="inlineStr">
        <is>
          <t xml:space="preserve">company</t>
        </is>
      </c>
      <c r="E145" s="0" t="inlineStr">
        <is>
          <t xml:space="preserve">revenue</t>
        </is>
      </c>
      <c r="F145" s="4">
        <v>1515012</v>
      </c>
      <c r="G145" s="0" t="str">
        <f>"apr26"</f>
        <v>apr26</v>
      </c>
    </row>
    <row r="146">
      <c r="A146" s="0" t="inlineStr">
        <is>
          <t xml:space="preserve">j00145</t>
        </is>
      </c>
      <c r="B146" s="16">
        <v>46117</v>
      </c>
      <c r="C146" s="0" t="inlineStr">
        <is>
          <t xml:space="preserve">us</t>
        </is>
      </c>
      <c r="D146" s="0" t="inlineStr">
        <is>
          <t xml:space="preserve">company</t>
        </is>
      </c>
      <c r="E146" s="0" t="inlineStr">
        <is>
          <t xml:space="preserve">revenue</t>
        </is>
      </c>
      <c r="F146" s="4">
        <v>2933916</v>
      </c>
      <c r="G146" s="0" t="str">
        <f>"apr26"</f>
        <v>apr26</v>
      </c>
    </row>
    <row r="147">
      <c r="A147" s="0" t="inlineStr">
        <is>
          <t xml:space="preserve">j00146</t>
        </is>
      </c>
      <c r="B147" s="16">
        <v>46140</v>
      </c>
      <c r="C147" s="0" t="inlineStr">
        <is>
          <t xml:space="preserve">us</t>
        </is>
      </c>
      <c r="D147" s="0" t="inlineStr">
        <is>
          <t xml:space="preserve">company</t>
        </is>
      </c>
      <c r="E147" s="0" t="inlineStr">
        <is>
          <t xml:space="preserve">cogs_hosting</t>
        </is>
      </c>
      <c r="F147" s="4">
        <v>-224205</v>
      </c>
      <c r="G147" s="0" t="str">
        <f>"apr26"</f>
        <v>apr26</v>
      </c>
    </row>
    <row r="148">
      <c r="A148" s="0" t="inlineStr">
        <is>
          <t xml:space="preserve">j00147</t>
        </is>
      </c>
      <c r="B148" s="16">
        <v>46124</v>
      </c>
      <c r="C148" s="0" t="inlineStr">
        <is>
          <t xml:space="preserve">us</t>
        </is>
      </c>
      <c r="D148" s="0" t="inlineStr">
        <is>
          <t xml:space="preserve">company</t>
        </is>
      </c>
      <c r="E148" s="0" t="inlineStr">
        <is>
          <t xml:space="preserve">cogs_hosting</t>
        </is>
      </c>
      <c r="F148" s="4">
        <v>-118625</v>
      </c>
      <c r="G148" s="0" t="str">
        <f>"apr26"</f>
        <v>apr26</v>
      </c>
    </row>
    <row r="149">
      <c r="A149" s="0" t="inlineStr">
        <is>
          <t xml:space="preserve">j00148</t>
        </is>
      </c>
      <c r="B149" s="16">
        <v>46140</v>
      </c>
      <c r="C149" s="0" t="inlineStr">
        <is>
          <t xml:space="preserve">us</t>
        </is>
      </c>
      <c r="D149" s="0" t="inlineStr">
        <is>
          <t xml:space="preserve">company</t>
        </is>
      </c>
      <c r="E149" s="0" t="inlineStr">
        <is>
          <t xml:space="preserve">cogs_hosting</t>
        </is>
      </c>
      <c r="F149" s="4">
        <v>-194018</v>
      </c>
      <c r="G149" s="0" t="str">
        <f>"apr26"</f>
        <v>apr26</v>
      </c>
    </row>
    <row r="150">
      <c r="A150" s="0" t="inlineStr">
        <is>
          <t xml:space="preserve">j00149</t>
        </is>
      </c>
      <c r="B150" s="16">
        <v>46140</v>
      </c>
      <c r="C150" s="0" t="inlineStr">
        <is>
          <t xml:space="preserve">us</t>
        </is>
      </c>
      <c r="D150" s="0" t="inlineStr">
        <is>
          <t xml:space="preserve">company</t>
        </is>
      </c>
      <c r="E150" s="0" t="inlineStr">
        <is>
          <t xml:space="preserve">cogs_support</t>
        </is>
      </c>
      <c r="F150" s="4">
        <v>-65671</v>
      </c>
      <c r="G150" s="0" t="str">
        <f>"apr26"</f>
        <v>apr26</v>
      </c>
    </row>
    <row r="151">
      <c r="A151" s="0" t="inlineStr">
        <is>
          <t xml:space="preserve">j00150</t>
        </is>
      </c>
      <c r="B151" s="16">
        <v>46117</v>
      </c>
      <c r="C151" s="0" t="inlineStr">
        <is>
          <t xml:space="preserve">us</t>
        </is>
      </c>
      <c r="D151" s="0" t="inlineStr">
        <is>
          <t xml:space="preserve">company</t>
        </is>
      </c>
      <c r="E151" s="0" t="inlineStr">
        <is>
          <t xml:space="preserve">cogs_support</t>
        </is>
      </c>
      <c r="F151" s="4">
        <v>-168048</v>
      </c>
      <c r="G151" s="0" t="str">
        <f>"apr26"</f>
        <v>apr26</v>
      </c>
    </row>
    <row r="152">
      <c r="A152" s="0" t="inlineStr">
        <is>
          <t xml:space="preserve">j00151</t>
        </is>
      </c>
      <c r="B152" s="16">
        <v>46137</v>
      </c>
      <c r="C152" s="0" t="inlineStr">
        <is>
          <t xml:space="preserve">us</t>
        </is>
      </c>
      <c r="D152" s="0" t="inlineStr">
        <is>
          <t xml:space="preserve">sales</t>
        </is>
      </c>
      <c r="E152" s="0" t="inlineStr">
        <is>
          <t xml:space="preserve">salaries</t>
        </is>
      </c>
      <c r="F152" s="4">
        <v>-332655</v>
      </c>
      <c r="G152" s="0" t="str">
        <f>"apr26"</f>
        <v>apr26</v>
      </c>
    </row>
    <row r="153">
      <c r="A153" s="0" t="inlineStr">
        <is>
          <t xml:space="preserve">j00152</t>
        </is>
      </c>
      <c r="B153" s="16">
        <v>46140</v>
      </c>
      <c r="C153" s="0" t="inlineStr">
        <is>
          <t xml:space="preserve">us</t>
        </is>
      </c>
      <c r="D153" s="0" t="inlineStr">
        <is>
          <t xml:space="preserve">sales</t>
        </is>
      </c>
      <c r="E153" s="0" t="inlineStr">
        <is>
          <t xml:space="preserve">benefits</t>
        </is>
      </c>
      <c r="F153" s="4">
        <v>-73437</v>
      </c>
      <c r="G153" s="0" t="str">
        <f>"apr26"</f>
        <v>apr26</v>
      </c>
    </row>
    <row r="154">
      <c r="A154" s="0" t="inlineStr">
        <is>
          <t xml:space="preserve">j00153</t>
        </is>
      </c>
      <c r="B154" s="16">
        <v>46132</v>
      </c>
      <c r="C154" s="0" t="inlineStr">
        <is>
          <t xml:space="preserve">us</t>
        </is>
      </c>
      <c r="D154" s="0" t="inlineStr">
        <is>
          <t xml:space="preserve">sales</t>
        </is>
      </c>
      <c r="E154" s="0" t="inlineStr">
        <is>
          <t xml:space="preserve">travel</t>
        </is>
      </c>
      <c r="F154" s="4">
        <v>-9802</v>
      </c>
      <c r="G154" s="0" t="str">
        <f>"apr26"</f>
        <v>apr26</v>
      </c>
    </row>
    <row r="155">
      <c r="A155" s="0" t="inlineStr">
        <is>
          <t xml:space="preserve">j00154</t>
        </is>
      </c>
      <c r="B155" s="16">
        <v>46117</v>
      </c>
      <c r="C155" s="0" t="inlineStr">
        <is>
          <t xml:space="preserve">us</t>
        </is>
      </c>
      <c r="D155" s="0" t="inlineStr">
        <is>
          <t xml:space="preserve">sales</t>
        </is>
      </c>
      <c r="E155" s="0" t="inlineStr">
        <is>
          <t xml:space="preserve">travel</t>
        </is>
      </c>
      <c r="F155" s="4">
        <v>-29531</v>
      </c>
      <c r="G155" s="0" t="str">
        <f>"apr26"</f>
        <v>apr26</v>
      </c>
    </row>
    <row r="156">
      <c r="A156" s="0" t="inlineStr">
        <is>
          <t xml:space="preserve">j00155</t>
        </is>
      </c>
      <c r="B156" s="16">
        <v>46132</v>
      </c>
      <c r="C156" s="0" t="inlineStr">
        <is>
          <t xml:space="preserve">us</t>
        </is>
      </c>
      <c r="D156" s="0" t="inlineStr">
        <is>
          <t xml:space="preserve">sales</t>
        </is>
      </c>
      <c r="E156" s="0" t="inlineStr">
        <is>
          <t xml:space="preserve">software</t>
        </is>
      </c>
      <c r="F156" s="4">
        <v>-3449</v>
      </c>
      <c r="G156" s="0" t="str">
        <f>"apr26"</f>
        <v>apr26</v>
      </c>
    </row>
    <row r="157">
      <c r="A157" s="0" t="inlineStr">
        <is>
          <t xml:space="preserve">j00156</t>
        </is>
      </c>
      <c r="B157" s="16">
        <v>46132</v>
      </c>
      <c r="C157" s="0" t="inlineStr">
        <is>
          <t xml:space="preserve">us</t>
        </is>
      </c>
      <c r="D157" s="0" t="inlineStr">
        <is>
          <t xml:space="preserve">sales</t>
        </is>
      </c>
      <c r="E157" s="0" t="inlineStr">
        <is>
          <t xml:space="preserve">software</t>
        </is>
      </c>
      <c r="F157" s="4">
        <v>-3688</v>
      </c>
      <c r="G157" s="0" t="str">
        <f>"apr26"</f>
        <v>apr26</v>
      </c>
    </row>
    <row r="158">
      <c r="A158" s="0" t="inlineStr">
        <is>
          <t xml:space="preserve">j00157</t>
        </is>
      </c>
      <c r="B158" s="16">
        <v>46117</v>
      </c>
      <c r="C158" s="0" t="inlineStr">
        <is>
          <t xml:space="preserve">us</t>
        </is>
      </c>
      <c r="D158" s="0" t="inlineStr">
        <is>
          <t xml:space="preserve">sales</t>
        </is>
      </c>
      <c r="E158" s="0" t="inlineStr">
        <is>
          <t xml:space="preserve">software</t>
        </is>
      </c>
      <c r="F158" s="4">
        <v>-2560</v>
      </c>
      <c r="G158" s="0" t="str">
        <f>"apr26"</f>
        <v>apr26</v>
      </c>
    </row>
    <row r="159">
      <c r="A159" s="0" t="inlineStr">
        <is>
          <t xml:space="preserve">j00158</t>
        </is>
      </c>
      <c r="B159" s="16">
        <v>46137</v>
      </c>
      <c r="C159" s="0" t="inlineStr">
        <is>
          <t xml:space="preserve">us</t>
        </is>
      </c>
      <c r="D159" s="0" t="inlineStr">
        <is>
          <t xml:space="preserve">marketing</t>
        </is>
      </c>
      <c r="E159" s="0" t="inlineStr">
        <is>
          <t xml:space="preserve">salaries</t>
        </is>
      </c>
      <c r="F159" s="4">
        <v>-110169</v>
      </c>
      <c r="G159" s="0" t="str">
        <f>"apr26"</f>
        <v>apr26</v>
      </c>
    </row>
    <row r="160">
      <c r="A160" s="0" t="inlineStr">
        <is>
          <t xml:space="preserve">j00159</t>
        </is>
      </c>
      <c r="B160" s="16">
        <v>46140</v>
      </c>
      <c r="C160" s="0" t="inlineStr">
        <is>
          <t xml:space="preserve">us</t>
        </is>
      </c>
      <c r="D160" s="0" t="inlineStr">
        <is>
          <t xml:space="preserve">marketing</t>
        </is>
      </c>
      <c r="E160" s="0" t="inlineStr">
        <is>
          <t xml:space="preserve">benefits</t>
        </is>
      </c>
      <c r="F160" s="4">
        <v>-24989</v>
      </c>
      <c r="G160" s="0" t="str">
        <f>"apr26"</f>
        <v>apr26</v>
      </c>
    </row>
    <row r="161">
      <c r="A161" s="0" t="inlineStr">
        <is>
          <t xml:space="preserve">j00160</t>
        </is>
      </c>
      <c r="B161" s="16">
        <v>46117</v>
      </c>
      <c r="C161" s="0" t="inlineStr">
        <is>
          <t xml:space="preserve">us</t>
        </is>
      </c>
      <c r="D161" s="0" t="inlineStr">
        <is>
          <t xml:space="preserve">marketing</t>
        </is>
      </c>
      <c r="E161" s="0" t="inlineStr">
        <is>
          <t xml:space="preserve">software</t>
        </is>
      </c>
      <c r="F161" s="4">
        <v>-3911</v>
      </c>
      <c r="G161" s="0" t="str">
        <f>"apr26"</f>
        <v>apr26</v>
      </c>
    </row>
    <row r="162">
      <c r="A162" s="0" t="inlineStr">
        <is>
          <t xml:space="preserve">j00161</t>
        </is>
      </c>
      <c r="B162" s="16">
        <v>46132</v>
      </c>
      <c r="C162" s="0" t="inlineStr">
        <is>
          <t xml:space="preserve">us</t>
        </is>
      </c>
      <c r="D162" s="0" t="inlineStr">
        <is>
          <t xml:space="preserve">marketing</t>
        </is>
      </c>
      <c r="E162" s="0" t="inlineStr">
        <is>
          <t xml:space="preserve">software</t>
        </is>
      </c>
      <c r="F162" s="4">
        <v>-11031</v>
      </c>
      <c r="G162" s="0" t="str">
        <f>"apr26"</f>
        <v>apr26</v>
      </c>
    </row>
    <row r="163">
      <c r="A163" s="0" t="inlineStr">
        <is>
          <t xml:space="preserve">j00162</t>
        </is>
      </c>
      <c r="B163" s="16">
        <v>46140</v>
      </c>
      <c r="C163" s="0" t="inlineStr">
        <is>
          <t xml:space="preserve">us</t>
        </is>
      </c>
      <c r="D163" s="0" t="inlineStr">
        <is>
          <t xml:space="preserve">marketing</t>
        </is>
      </c>
      <c r="E163" s="0" t="inlineStr">
        <is>
          <t xml:space="preserve">travel</t>
        </is>
      </c>
      <c r="F163" s="4">
        <v>-4797</v>
      </c>
      <c r="G163" s="0" t="str">
        <f>"apr26"</f>
        <v>apr26</v>
      </c>
    </row>
    <row r="164">
      <c r="A164" s="0" t="inlineStr">
        <is>
          <t xml:space="preserve">j00163</t>
        </is>
      </c>
      <c r="B164" s="16">
        <v>46127</v>
      </c>
      <c r="C164" s="0" t="inlineStr">
        <is>
          <t xml:space="preserve">us</t>
        </is>
      </c>
      <c r="D164" s="0" t="inlineStr">
        <is>
          <t xml:space="preserve">marketing</t>
        </is>
      </c>
      <c r="E164" s="0" t="inlineStr">
        <is>
          <t xml:space="preserve">travel</t>
        </is>
      </c>
      <c r="F164" s="4">
        <v>-7504</v>
      </c>
      <c r="G164" s="0" t="str">
        <f>"apr26"</f>
        <v>apr26</v>
      </c>
    </row>
    <row r="165">
      <c r="A165" s="0" t="inlineStr">
        <is>
          <t xml:space="preserve">j00164</t>
        </is>
      </c>
      <c r="B165" s="16">
        <v>46137</v>
      </c>
      <c r="C165" s="0" t="inlineStr">
        <is>
          <t xml:space="preserve">us</t>
        </is>
      </c>
      <c r="D165" s="0" t="inlineStr">
        <is>
          <t xml:space="preserve">engineering</t>
        </is>
      </c>
      <c r="E165" s="0" t="inlineStr">
        <is>
          <t xml:space="preserve">salaries</t>
        </is>
      </c>
      <c r="F165" s="4">
        <v>-655016</v>
      </c>
      <c r="G165" s="0" t="str">
        <f>"apr26"</f>
        <v>apr26</v>
      </c>
    </row>
    <row r="166">
      <c r="A166" s="0" t="inlineStr">
        <is>
          <t xml:space="preserve">j00165</t>
        </is>
      </c>
      <c r="B166" s="16">
        <v>46127</v>
      </c>
      <c r="C166" s="0" t="inlineStr">
        <is>
          <t xml:space="preserve">us</t>
        </is>
      </c>
      <c r="D166" s="0" t="inlineStr">
        <is>
          <t xml:space="preserve">engineering</t>
        </is>
      </c>
      <c r="E166" s="0" t="inlineStr">
        <is>
          <t xml:space="preserve">benefits</t>
        </is>
      </c>
      <c r="F166" s="4">
        <v>-154501</v>
      </c>
      <c r="G166" s="0" t="str">
        <f>"apr26"</f>
        <v>apr26</v>
      </c>
    </row>
    <row r="167">
      <c r="A167" s="0" t="inlineStr">
        <is>
          <t xml:space="preserve">j00166</t>
        </is>
      </c>
      <c r="B167" s="16">
        <v>46127</v>
      </c>
      <c r="C167" s="0" t="inlineStr">
        <is>
          <t xml:space="preserve">us</t>
        </is>
      </c>
      <c r="D167" s="0" t="inlineStr">
        <is>
          <t xml:space="preserve">engineering</t>
        </is>
      </c>
      <c r="E167" s="0" t="inlineStr">
        <is>
          <t xml:space="preserve">contractors</t>
        </is>
      </c>
      <c r="F167" s="4">
        <v>-23819</v>
      </c>
      <c r="G167" s="0" t="str">
        <f>"apr26"</f>
        <v>apr26</v>
      </c>
    </row>
    <row r="168">
      <c r="A168" s="0" t="inlineStr">
        <is>
          <t xml:space="preserve">j00167</t>
        </is>
      </c>
      <c r="B168" s="16">
        <v>46127</v>
      </c>
      <c r="C168" s="0" t="inlineStr">
        <is>
          <t xml:space="preserve">us</t>
        </is>
      </c>
      <c r="D168" s="0" t="inlineStr">
        <is>
          <t xml:space="preserve">engineering</t>
        </is>
      </c>
      <c r="E168" s="0" t="inlineStr">
        <is>
          <t xml:space="preserve">contractors</t>
        </is>
      </c>
      <c r="F168" s="4">
        <v>-36605</v>
      </c>
      <c r="G168" s="0" t="str">
        <f>"apr26"</f>
        <v>apr26</v>
      </c>
    </row>
    <row r="169">
      <c r="A169" s="0" t="inlineStr">
        <is>
          <t xml:space="preserve">j00168</t>
        </is>
      </c>
      <c r="B169" s="16">
        <v>46124</v>
      </c>
      <c r="C169" s="0" t="inlineStr">
        <is>
          <t xml:space="preserve">us</t>
        </is>
      </c>
      <c r="D169" s="0" t="inlineStr">
        <is>
          <t xml:space="preserve">engineering</t>
        </is>
      </c>
      <c r="E169" s="0" t="inlineStr">
        <is>
          <t xml:space="preserve">software</t>
        </is>
      </c>
      <c r="F169" s="4">
        <v>-4791</v>
      </c>
      <c r="G169" s="0" t="str">
        <f>"apr26"</f>
        <v>apr26</v>
      </c>
    </row>
    <row r="170">
      <c r="A170" s="0" t="inlineStr">
        <is>
          <t xml:space="preserve">j00169</t>
        </is>
      </c>
      <c r="B170" s="16">
        <v>46132</v>
      </c>
      <c r="C170" s="0" t="inlineStr">
        <is>
          <t xml:space="preserve">us</t>
        </is>
      </c>
      <c r="D170" s="0" t="inlineStr">
        <is>
          <t xml:space="preserve">engineering</t>
        </is>
      </c>
      <c r="E170" s="0" t="inlineStr">
        <is>
          <t xml:space="preserve">software</t>
        </is>
      </c>
      <c r="F170" s="4">
        <v>-6929</v>
      </c>
      <c r="G170" s="0" t="str">
        <f>"apr26"</f>
        <v>apr26</v>
      </c>
    </row>
    <row r="171">
      <c r="A171" s="0" t="inlineStr">
        <is>
          <t xml:space="preserve">j00170</t>
        </is>
      </c>
      <c r="B171" s="16">
        <v>46127</v>
      </c>
      <c r="C171" s="0" t="inlineStr">
        <is>
          <t xml:space="preserve">us</t>
        </is>
      </c>
      <c r="D171" s="0" t="inlineStr">
        <is>
          <t xml:space="preserve">engineering</t>
        </is>
      </c>
      <c r="E171" s="0" t="inlineStr">
        <is>
          <t xml:space="preserve">software</t>
        </is>
      </c>
      <c r="F171" s="4">
        <v>-8095</v>
      </c>
      <c r="G171" s="0" t="str">
        <f>"apr26"</f>
        <v>apr26</v>
      </c>
    </row>
    <row r="172">
      <c r="A172" s="0" t="inlineStr">
        <is>
          <t xml:space="preserve">j00171</t>
        </is>
      </c>
      <c r="B172" s="16">
        <v>46137</v>
      </c>
      <c r="C172" s="0" t="inlineStr">
        <is>
          <t xml:space="preserve">us</t>
        </is>
      </c>
      <c r="D172" s="0" t="inlineStr">
        <is>
          <t xml:space="preserve">customer_success</t>
        </is>
      </c>
      <c r="E172" s="0" t="inlineStr">
        <is>
          <t xml:space="preserve">salaries</t>
        </is>
      </c>
      <c r="F172" s="4">
        <v>-125083</v>
      </c>
      <c r="G172" s="0" t="str">
        <f>"apr26"</f>
        <v>apr26</v>
      </c>
    </row>
    <row r="173">
      <c r="A173" s="0" t="inlineStr">
        <is>
          <t xml:space="preserve">j00172</t>
        </is>
      </c>
      <c r="B173" s="16">
        <v>46127</v>
      </c>
      <c r="C173" s="0" t="inlineStr">
        <is>
          <t xml:space="preserve">us</t>
        </is>
      </c>
      <c r="D173" s="0" t="inlineStr">
        <is>
          <t xml:space="preserve">customer_success</t>
        </is>
      </c>
      <c r="E173" s="0" t="inlineStr">
        <is>
          <t xml:space="preserve">benefits</t>
        </is>
      </c>
      <c r="F173" s="4">
        <v>-26253</v>
      </c>
      <c r="G173" s="0" t="str">
        <f>"apr26"</f>
        <v>apr26</v>
      </c>
    </row>
    <row r="174">
      <c r="A174" s="0" t="inlineStr">
        <is>
          <t xml:space="preserve">j00173</t>
        </is>
      </c>
      <c r="B174" s="16">
        <v>46127</v>
      </c>
      <c r="C174" s="0" t="inlineStr">
        <is>
          <t xml:space="preserve">us</t>
        </is>
      </c>
      <c r="D174" s="0" t="inlineStr">
        <is>
          <t xml:space="preserve">customer_success</t>
        </is>
      </c>
      <c r="E174" s="0" t="inlineStr">
        <is>
          <t xml:space="preserve">software</t>
        </is>
      </c>
      <c r="F174" s="4">
        <v>-4376</v>
      </c>
      <c r="G174" s="0" t="str">
        <f>"apr26"</f>
        <v>apr26</v>
      </c>
    </row>
    <row r="175">
      <c r="A175" s="0" t="inlineStr">
        <is>
          <t xml:space="preserve">j00174</t>
        </is>
      </c>
      <c r="B175" s="16">
        <v>46124</v>
      </c>
      <c r="C175" s="0" t="inlineStr">
        <is>
          <t xml:space="preserve">us</t>
        </is>
      </c>
      <c r="D175" s="0" t="inlineStr">
        <is>
          <t xml:space="preserve">customer_success</t>
        </is>
      </c>
      <c r="E175" s="0" t="inlineStr">
        <is>
          <t xml:space="preserve">software</t>
        </is>
      </c>
      <c r="F175" s="4">
        <v>-2942</v>
      </c>
      <c r="G175" s="0" t="str">
        <f>"apr26"</f>
        <v>apr26</v>
      </c>
    </row>
    <row r="176">
      <c r="A176" s="0" t="inlineStr">
        <is>
          <t xml:space="preserve">j00175</t>
        </is>
      </c>
      <c r="B176" s="16">
        <v>46132</v>
      </c>
      <c r="C176" s="0" t="inlineStr">
        <is>
          <t xml:space="preserve">us</t>
        </is>
      </c>
      <c r="D176" s="0" t="inlineStr">
        <is>
          <t xml:space="preserve">customer_success</t>
        </is>
      </c>
      <c r="E176" s="0" t="inlineStr">
        <is>
          <t xml:space="preserve">travel</t>
        </is>
      </c>
      <c r="F176" s="4">
        <v>-1924</v>
      </c>
      <c r="G176" s="0" t="str">
        <f>"apr26"</f>
        <v>apr26</v>
      </c>
    </row>
    <row r="177">
      <c r="A177" s="0" t="inlineStr">
        <is>
          <t xml:space="preserve">j00176</t>
        </is>
      </c>
      <c r="B177" s="16">
        <v>46117</v>
      </c>
      <c r="C177" s="0" t="inlineStr">
        <is>
          <t xml:space="preserve">us</t>
        </is>
      </c>
      <c r="D177" s="0" t="inlineStr">
        <is>
          <t xml:space="preserve">customer_success</t>
        </is>
      </c>
      <c r="E177" s="0" t="inlineStr">
        <is>
          <t xml:space="preserve">travel</t>
        </is>
      </c>
      <c r="F177" s="4">
        <v>-2053</v>
      </c>
      <c r="G177" s="0" t="str">
        <f>"apr26"</f>
        <v>apr26</v>
      </c>
    </row>
    <row r="178">
      <c r="A178" s="0" t="inlineStr">
        <is>
          <t xml:space="preserve">j00177</t>
        </is>
      </c>
      <c r="B178" s="16">
        <v>46137</v>
      </c>
      <c r="C178" s="0" t="inlineStr">
        <is>
          <t xml:space="preserve">us</t>
        </is>
      </c>
      <c r="D178" s="0" t="inlineStr">
        <is>
          <t xml:space="preserve">g_and_a</t>
        </is>
      </c>
      <c r="E178" s="0" t="inlineStr">
        <is>
          <t xml:space="preserve">salaries</t>
        </is>
      </c>
      <c r="F178" s="4">
        <v>-136182</v>
      </c>
      <c r="G178" s="0" t="str">
        <f>"apr26"</f>
        <v>apr26</v>
      </c>
    </row>
    <row r="179">
      <c r="A179" s="0" t="inlineStr">
        <is>
          <t xml:space="preserve">j00178</t>
        </is>
      </c>
      <c r="B179" s="16">
        <v>46132</v>
      </c>
      <c r="C179" s="0" t="inlineStr">
        <is>
          <t xml:space="preserve">us</t>
        </is>
      </c>
      <c r="D179" s="0" t="inlineStr">
        <is>
          <t xml:space="preserve">g_and_a</t>
        </is>
      </c>
      <c r="E179" s="0" t="inlineStr">
        <is>
          <t xml:space="preserve">benefits</t>
        </is>
      </c>
      <c r="F179" s="4">
        <v>-28713</v>
      </c>
      <c r="G179" s="0" t="str">
        <f>"apr26"</f>
        <v>apr26</v>
      </c>
    </row>
    <row r="180">
      <c r="A180" s="0" t="inlineStr">
        <is>
          <t xml:space="preserve">j00179</t>
        </is>
      </c>
      <c r="B180" s="16">
        <v>46140</v>
      </c>
      <c r="C180" s="0" t="inlineStr">
        <is>
          <t xml:space="preserve">us</t>
        </is>
      </c>
      <c r="D180" s="0" t="inlineStr">
        <is>
          <t xml:space="preserve">g_and_a</t>
        </is>
      </c>
      <c r="E180" s="0" t="inlineStr">
        <is>
          <t xml:space="preserve">rent</t>
        </is>
      </c>
      <c r="F180" s="4">
        <v>-93728</v>
      </c>
      <c r="G180" s="0" t="str">
        <f>"apr26"</f>
        <v>apr26</v>
      </c>
    </row>
    <row r="181">
      <c r="A181" s="0" t="inlineStr">
        <is>
          <t xml:space="preserve">j00180</t>
        </is>
      </c>
      <c r="B181" s="16">
        <v>46124</v>
      </c>
      <c r="C181" s="0" t="inlineStr">
        <is>
          <t xml:space="preserve">us</t>
        </is>
      </c>
      <c r="D181" s="0" t="inlineStr">
        <is>
          <t xml:space="preserve">g_and_a</t>
        </is>
      </c>
      <c r="E181" s="0" t="inlineStr">
        <is>
          <t xml:space="preserve">professional_fees</t>
        </is>
      </c>
      <c r="F181" s="4">
        <v>-11161</v>
      </c>
      <c r="G181" s="0" t="str">
        <f>"apr26"</f>
        <v>apr26</v>
      </c>
    </row>
    <row r="182">
      <c r="A182" s="0" t="inlineStr">
        <is>
          <t xml:space="preserve">j00181</t>
        </is>
      </c>
      <c r="B182" s="16">
        <v>46117</v>
      </c>
      <c r="C182" s="0" t="inlineStr">
        <is>
          <t xml:space="preserve">us</t>
        </is>
      </c>
      <c r="D182" s="0" t="inlineStr">
        <is>
          <t xml:space="preserve">g_and_a</t>
        </is>
      </c>
      <c r="E182" s="0" t="inlineStr">
        <is>
          <t xml:space="preserve">professional_fees</t>
        </is>
      </c>
      <c r="F182" s="4">
        <v>-21692</v>
      </c>
      <c r="G182" s="0" t="str">
        <f>"apr26"</f>
        <v>apr26</v>
      </c>
    </row>
    <row r="183">
      <c r="A183" s="0" t="inlineStr">
        <is>
          <t xml:space="preserve">j00182</t>
        </is>
      </c>
      <c r="B183" s="16">
        <v>46127</v>
      </c>
      <c r="C183" s="0" t="inlineStr">
        <is>
          <t xml:space="preserve">us</t>
        </is>
      </c>
      <c r="D183" s="0" t="inlineStr">
        <is>
          <t xml:space="preserve">g_and_a</t>
        </is>
      </c>
      <c r="E183" s="0" t="inlineStr">
        <is>
          <t xml:space="preserve">software</t>
        </is>
      </c>
      <c r="F183" s="4">
        <v>-6779</v>
      </c>
      <c r="G183" s="0" t="str">
        <f>"apr26"</f>
        <v>apr26</v>
      </c>
    </row>
    <row r="184">
      <c r="A184" s="0" t="inlineStr">
        <is>
          <t xml:space="preserve">j00183</t>
        </is>
      </c>
      <c r="B184" s="16">
        <v>46140</v>
      </c>
      <c r="C184" s="0" t="inlineStr">
        <is>
          <t xml:space="preserve">us</t>
        </is>
      </c>
      <c r="D184" s="0" t="inlineStr">
        <is>
          <t xml:space="preserve">g_and_a</t>
        </is>
      </c>
      <c r="E184" s="0" t="inlineStr">
        <is>
          <t xml:space="preserve">software</t>
        </is>
      </c>
      <c r="F184" s="4">
        <v>-4358</v>
      </c>
      <c r="G184" s="0" t="str">
        <f>"apr26"</f>
        <v>apr26</v>
      </c>
    </row>
    <row r="185">
      <c r="A185" s="0" t="inlineStr">
        <is>
          <t xml:space="preserve">j00184</t>
        </is>
      </c>
      <c r="B185" s="16">
        <v>46124</v>
      </c>
      <c r="C185" s="0" t="inlineStr">
        <is>
          <t xml:space="preserve">us</t>
        </is>
      </c>
      <c r="D185" s="0" t="inlineStr">
        <is>
          <t xml:space="preserve">g_and_a</t>
        </is>
      </c>
      <c r="E185" s="0" t="inlineStr">
        <is>
          <t xml:space="preserve">travel</t>
        </is>
      </c>
      <c r="F185" s="4">
        <v>-3033</v>
      </c>
      <c r="G185" s="0" t="str">
        <f>"apr26"</f>
        <v>apr26</v>
      </c>
    </row>
    <row r="186">
      <c r="A186" s="0" t="inlineStr">
        <is>
          <t xml:space="preserve">j00185</t>
        </is>
      </c>
      <c r="B186" s="16">
        <v>46117</v>
      </c>
      <c r="C186" s="0" t="inlineStr">
        <is>
          <t xml:space="preserve">us</t>
        </is>
      </c>
      <c r="D186" s="0" t="inlineStr">
        <is>
          <t xml:space="preserve">g_and_a</t>
        </is>
      </c>
      <c r="E186" s="0" t="inlineStr">
        <is>
          <t xml:space="preserve">travel</t>
        </is>
      </c>
      <c r="F186" s="4">
        <v>-2063</v>
      </c>
      <c r="G186" s="0" t="str">
        <f>"apr26"</f>
        <v>apr26</v>
      </c>
    </row>
    <row r="187">
      <c r="A187" s="0" t="inlineStr">
        <is>
          <t xml:space="preserve">j00186</t>
        </is>
      </c>
      <c r="B187" s="16">
        <v>46127</v>
      </c>
      <c r="C187" s="0" t="inlineStr">
        <is>
          <t xml:space="preserve">us</t>
        </is>
      </c>
      <c r="D187" s="0" t="inlineStr">
        <is>
          <t xml:space="preserve">g_and_a</t>
        </is>
      </c>
      <c r="E187" s="0" t="inlineStr">
        <is>
          <t xml:space="preserve">travel</t>
        </is>
      </c>
      <c r="F187" s="4">
        <v>-821</v>
      </c>
      <c r="G187" s="0" t="str">
        <f>"apr26"</f>
        <v>apr26</v>
      </c>
    </row>
    <row r="188">
      <c r="A188" s="0" t="inlineStr">
        <is>
          <t xml:space="preserve">j00187</t>
        </is>
      </c>
      <c r="B188" s="16">
        <v>46132</v>
      </c>
      <c r="C188" s="0" t="inlineStr">
        <is>
          <t xml:space="preserve">us</t>
        </is>
      </c>
      <c r="D188" s="0" t="inlineStr">
        <is>
          <t xml:space="preserve">sales</t>
        </is>
      </c>
      <c r="E188" s="0" t="inlineStr">
        <is>
          <t xml:space="preserve">commissions</t>
        </is>
      </c>
      <c r="F188" s="4">
        <v>-76136</v>
      </c>
      <c r="G188" s="0" t="str">
        <f>"apr26"</f>
        <v>apr26</v>
      </c>
    </row>
    <row r="189">
      <c r="A189" s="0" t="inlineStr">
        <is>
          <t xml:space="preserve">j00188</t>
        </is>
      </c>
      <c r="B189" s="16">
        <v>46140</v>
      </c>
      <c r="C189" s="0" t="inlineStr">
        <is>
          <t xml:space="preserve">us</t>
        </is>
      </c>
      <c r="D189" s="0" t="inlineStr">
        <is>
          <t xml:space="preserve">sales</t>
        </is>
      </c>
      <c r="E189" s="0" t="inlineStr">
        <is>
          <t xml:space="preserve">commissions</t>
        </is>
      </c>
      <c r="F189" s="4">
        <v>-122001</v>
      </c>
      <c r="G189" s="0" t="str">
        <f>"apr26"</f>
        <v>apr26</v>
      </c>
    </row>
    <row r="190">
      <c r="A190" s="0" t="inlineStr">
        <is>
          <t xml:space="preserve">j00189</t>
        </is>
      </c>
      <c r="B190" s="16">
        <v>46124</v>
      </c>
      <c r="C190" s="0" t="inlineStr">
        <is>
          <t xml:space="preserve">us</t>
        </is>
      </c>
      <c r="D190" s="0" t="inlineStr">
        <is>
          <t xml:space="preserve">marketing</t>
        </is>
      </c>
      <c r="E190" s="0" t="inlineStr">
        <is>
          <t xml:space="preserve">marketing_programs</t>
        </is>
      </c>
      <c r="F190" s="4">
        <v>-360160</v>
      </c>
      <c r="G190" s="0" t="str">
        <f>"apr26"</f>
        <v>apr26</v>
      </c>
    </row>
    <row r="191">
      <c r="A191" s="0" t="inlineStr">
        <is>
          <t xml:space="preserve">j00190</t>
        </is>
      </c>
      <c r="B191" s="16">
        <v>46124</v>
      </c>
      <c r="C191" s="0" t="inlineStr">
        <is>
          <t xml:space="preserve">us</t>
        </is>
      </c>
      <c r="D191" s="0" t="inlineStr">
        <is>
          <t xml:space="preserve">engineering</t>
        </is>
      </c>
      <c r="E191" s="0" t="inlineStr">
        <is>
          <t xml:space="preserve">cloud</t>
        </is>
      </c>
      <c r="F191" s="4">
        <v>-418940</v>
      </c>
      <c r="G191" s="0" t="str">
        <f>"apr26"</f>
        <v>apr26</v>
      </c>
    </row>
    <row r="192">
      <c r="A192" s="0" t="inlineStr">
        <is>
          <t xml:space="preserve">j00191</t>
        </is>
      </c>
      <c r="B192" s="16">
        <v>46147</v>
      </c>
      <c r="C192" s="0" t="inlineStr">
        <is>
          <t xml:space="preserve">us</t>
        </is>
      </c>
      <c r="D192" s="0" t="inlineStr">
        <is>
          <t xml:space="preserve">company</t>
        </is>
      </c>
      <c r="E192" s="0" t="inlineStr">
        <is>
          <t xml:space="preserve">revenue</t>
        </is>
      </c>
      <c r="F192" s="4">
        <v>902537</v>
      </c>
      <c r="G192" s="0" t="str">
        <f>"may26"</f>
        <v>may26</v>
      </c>
    </row>
    <row r="193">
      <c r="A193" s="0" t="inlineStr">
        <is>
          <t xml:space="preserve">j00192</t>
        </is>
      </c>
      <c r="B193" s="16">
        <v>46170</v>
      </c>
      <c r="C193" s="0" t="inlineStr">
        <is>
          <t xml:space="preserve">us</t>
        </is>
      </c>
      <c r="D193" s="0" t="inlineStr">
        <is>
          <t xml:space="preserve">company</t>
        </is>
      </c>
      <c r="E193" s="0" t="inlineStr">
        <is>
          <t xml:space="preserve">revenue</t>
        </is>
      </c>
      <c r="F193" s="4">
        <v>1734494</v>
      </c>
      <c r="G193" s="0" t="str">
        <f>"may26"</f>
        <v>may26</v>
      </c>
    </row>
    <row r="194">
      <c r="A194" s="0" t="inlineStr">
        <is>
          <t xml:space="preserve">j00193</t>
        </is>
      </c>
      <c r="B194" s="16">
        <v>46162</v>
      </c>
      <c r="C194" s="0" t="inlineStr">
        <is>
          <t xml:space="preserve">us</t>
        </is>
      </c>
      <c r="D194" s="0" t="inlineStr">
        <is>
          <t xml:space="preserve">company</t>
        </is>
      </c>
      <c r="E194" s="0" t="inlineStr">
        <is>
          <t xml:space="preserve">revenue</t>
        </is>
      </c>
      <c r="F194" s="4">
        <v>1792195</v>
      </c>
      <c r="G194" s="0" t="str">
        <f>"may26"</f>
        <v>may26</v>
      </c>
    </row>
    <row r="195">
      <c r="A195" s="0" t="inlineStr">
        <is>
          <t xml:space="preserve">j00194</t>
        </is>
      </c>
      <c r="B195" s="16">
        <v>46162</v>
      </c>
      <c r="C195" s="0" t="inlineStr">
        <is>
          <t xml:space="preserve">us</t>
        </is>
      </c>
      <c r="D195" s="0" t="inlineStr">
        <is>
          <t xml:space="preserve">company</t>
        </is>
      </c>
      <c r="E195" s="0" t="inlineStr">
        <is>
          <t xml:space="preserve">cogs_hosting</t>
        </is>
      </c>
      <c r="F195" s="4">
        <v>-226981</v>
      </c>
      <c r="G195" s="0" t="str">
        <f>"may26"</f>
        <v>may26</v>
      </c>
    </row>
    <row r="196">
      <c r="A196" s="0" t="inlineStr">
        <is>
          <t xml:space="preserve">j00195</t>
        </is>
      </c>
      <c r="B196" s="16">
        <v>46147</v>
      </c>
      <c r="C196" s="0" t="inlineStr">
        <is>
          <t xml:space="preserve">us</t>
        </is>
      </c>
      <c r="D196" s="0" t="inlineStr">
        <is>
          <t xml:space="preserve">company</t>
        </is>
      </c>
      <c r="E196" s="0" t="inlineStr">
        <is>
          <t xml:space="preserve">cogs_hosting</t>
        </is>
      </c>
      <c r="F196" s="4">
        <v>-317548</v>
      </c>
      <c r="G196" s="0" t="str">
        <f>"may26"</f>
        <v>may26</v>
      </c>
    </row>
    <row r="197">
      <c r="A197" s="0" t="inlineStr">
        <is>
          <t xml:space="preserve">j00196</t>
        </is>
      </c>
      <c r="B197" s="16">
        <v>46157</v>
      </c>
      <c r="C197" s="0" t="inlineStr">
        <is>
          <t xml:space="preserve">us</t>
        </is>
      </c>
      <c r="D197" s="0" t="inlineStr">
        <is>
          <t xml:space="preserve">company</t>
        </is>
      </c>
      <c r="E197" s="0" t="inlineStr">
        <is>
          <t xml:space="preserve">cogs_support</t>
        </is>
      </c>
      <c r="F197" s="4">
        <v>-121510</v>
      </c>
      <c r="G197" s="0" t="str">
        <f>"may26"</f>
        <v>may26</v>
      </c>
    </row>
    <row r="198">
      <c r="A198" s="0" t="inlineStr">
        <is>
          <t xml:space="preserve">j00197</t>
        </is>
      </c>
      <c r="B198" s="16">
        <v>46157</v>
      </c>
      <c r="C198" s="0" t="inlineStr">
        <is>
          <t xml:space="preserve">us</t>
        </is>
      </c>
      <c r="D198" s="0" t="inlineStr">
        <is>
          <t xml:space="preserve">company</t>
        </is>
      </c>
      <c r="E198" s="0" t="inlineStr">
        <is>
          <t xml:space="preserve">cogs_support</t>
        </is>
      </c>
      <c r="F198" s="4">
        <v>-114159</v>
      </c>
      <c r="G198" s="0" t="str">
        <f>"may26"</f>
        <v>may26</v>
      </c>
    </row>
    <row r="199">
      <c r="A199" s="0" t="inlineStr">
        <is>
          <t xml:space="preserve">j00198</t>
        </is>
      </c>
      <c r="B199" s="16">
        <v>46167</v>
      </c>
      <c r="C199" s="0" t="inlineStr">
        <is>
          <t xml:space="preserve">us</t>
        </is>
      </c>
      <c r="D199" s="0" t="inlineStr">
        <is>
          <t xml:space="preserve">sales</t>
        </is>
      </c>
      <c r="E199" s="0" t="inlineStr">
        <is>
          <t xml:space="preserve">salaries</t>
        </is>
      </c>
      <c r="F199" s="4">
        <v>-355616</v>
      </c>
      <c r="G199" s="0" t="str">
        <f>"may26"</f>
        <v>may26</v>
      </c>
    </row>
    <row r="200">
      <c r="A200" s="0" t="inlineStr">
        <is>
          <t xml:space="preserve">j00199</t>
        </is>
      </c>
      <c r="B200" s="16">
        <v>46157</v>
      </c>
      <c r="C200" s="0" t="inlineStr">
        <is>
          <t xml:space="preserve">us</t>
        </is>
      </c>
      <c r="D200" s="0" t="inlineStr">
        <is>
          <t xml:space="preserve">sales</t>
        </is>
      </c>
      <c r="E200" s="0" t="inlineStr">
        <is>
          <t xml:space="preserve">benefits</t>
        </is>
      </c>
      <c r="F200" s="4">
        <v>-68526</v>
      </c>
      <c r="G200" s="0" t="str">
        <f>"may26"</f>
        <v>may26</v>
      </c>
    </row>
    <row r="201">
      <c r="A201" s="0" t="inlineStr">
        <is>
          <t xml:space="preserve">j00200</t>
        </is>
      </c>
      <c r="B201" s="16">
        <v>46154</v>
      </c>
      <c r="C201" s="0" t="inlineStr">
        <is>
          <t xml:space="preserve">us</t>
        </is>
      </c>
      <c r="D201" s="0" t="inlineStr">
        <is>
          <t xml:space="preserve">sales</t>
        </is>
      </c>
      <c r="E201" s="0" t="inlineStr">
        <is>
          <t xml:space="preserve">travel</t>
        </is>
      </c>
      <c r="F201" s="4">
        <v>-38003</v>
      </c>
      <c r="G201" s="0" t="str">
        <f>"may26"</f>
        <v>may26</v>
      </c>
    </row>
    <row r="202">
      <c r="A202" s="0" t="inlineStr">
        <is>
          <t xml:space="preserve">j00201</t>
        </is>
      </c>
      <c r="B202" s="16">
        <v>46157</v>
      </c>
      <c r="C202" s="0" t="inlineStr">
        <is>
          <t xml:space="preserve">us</t>
        </is>
      </c>
      <c r="D202" s="0" t="inlineStr">
        <is>
          <t xml:space="preserve">sales</t>
        </is>
      </c>
      <c r="E202" s="0" t="inlineStr">
        <is>
          <t xml:space="preserve">software</t>
        </is>
      </c>
      <c r="F202" s="4">
        <v>-6026</v>
      </c>
      <c r="G202" s="0" t="str">
        <f>"may26"</f>
        <v>may26</v>
      </c>
    </row>
    <row r="203">
      <c r="A203" s="0" t="inlineStr">
        <is>
          <t xml:space="preserve">j00202</t>
        </is>
      </c>
      <c r="B203" s="16">
        <v>46157</v>
      </c>
      <c r="C203" s="0" t="inlineStr">
        <is>
          <t xml:space="preserve">us</t>
        </is>
      </c>
      <c r="D203" s="0" t="inlineStr">
        <is>
          <t xml:space="preserve">sales</t>
        </is>
      </c>
      <c r="E203" s="0" t="inlineStr">
        <is>
          <t xml:space="preserve">software</t>
        </is>
      </c>
      <c r="F203" s="4">
        <v>-4062</v>
      </c>
      <c r="G203" s="0" t="str">
        <f>"may26"</f>
        <v>may26</v>
      </c>
    </row>
    <row r="204">
      <c r="A204" s="0" t="inlineStr">
        <is>
          <t xml:space="preserve">j00203</t>
        </is>
      </c>
      <c r="B204" s="16">
        <v>46167</v>
      </c>
      <c r="C204" s="0" t="inlineStr">
        <is>
          <t xml:space="preserve">us</t>
        </is>
      </c>
      <c r="D204" s="0" t="inlineStr">
        <is>
          <t xml:space="preserve">marketing</t>
        </is>
      </c>
      <c r="E204" s="0" t="inlineStr">
        <is>
          <t xml:space="preserve">salaries</t>
        </is>
      </c>
      <c r="F204" s="4">
        <v>-118123</v>
      </c>
      <c r="G204" s="0" t="str">
        <f>"may26"</f>
        <v>may26</v>
      </c>
    </row>
    <row r="205">
      <c r="A205" s="0" t="inlineStr">
        <is>
          <t xml:space="preserve">j00204</t>
        </is>
      </c>
      <c r="B205" s="16">
        <v>46162</v>
      </c>
      <c r="C205" s="0" t="inlineStr">
        <is>
          <t xml:space="preserve">us</t>
        </is>
      </c>
      <c r="D205" s="0" t="inlineStr">
        <is>
          <t xml:space="preserve">marketing</t>
        </is>
      </c>
      <c r="E205" s="0" t="inlineStr">
        <is>
          <t xml:space="preserve">benefits</t>
        </is>
      </c>
      <c r="F205" s="4">
        <v>-24848</v>
      </c>
      <c r="G205" s="0" t="str">
        <f>"may26"</f>
        <v>may26</v>
      </c>
    </row>
    <row r="206">
      <c r="A206" s="0" t="inlineStr">
        <is>
          <t xml:space="preserve">j00205</t>
        </is>
      </c>
      <c r="B206" s="16">
        <v>46170</v>
      </c>
      <c r="C206" s="0" t="inlineStr">
        <is>
          <t xml:space="preserve">us</t>
        </is>
      </c>
      <c r="D206" s="0" t="inlineStr">
        <is>
          <t xml:space="preserve">marketing</t>
        </is>
      </c>
      <c r="E206" s="0" t="inlineStr">
        <is>
          <t xml:space="preserve">software</t>
        </is>
      </c>
      <c r="F206" s="4">
        <v>-13745</v>
      </c>
      <c r="G206" s="0" t="str">
        <f>"may26"</f>
        <v>may26</v>
      </c>
    </row>
    <row r="207">
      <c r="A207" s="0" t="inlineStr">
        <is>
          <t xml:space="preserve">j00206</t>
        </is>
      </c>
      <c r="B207" s="16">
        <v>46170</v>
      </c>
      <c r="C207" s="0" t="inlineStr">
        <is>
          <t xml:space="preserve">us</t>
        </is>
      </c>
      <c r="D207" s="0" t="inlineStr">
        <is>
          <t xml:space="preserve">marketing</t>
        </is>
      </c>
      <c r="E207" s="0" t="inlineStr">
        <is>
          <t xml:space="preserve">travel</t>
        </is>
      </c>
      <c r="F207" s="4">
        <v>-6917</v>
      </c>
      <c r="G207" s="0" t="str">
        <f>"may26"</f>
        <v>may26</v>
      </c>
    </row>
    <row r="208">
      <c r="A208" s="0" t="inlineStr">
        <is>
          <t xml:space="preserve">j00207</t>
        </is>
      </c>
      <c r="B208" s="16">
        <v>46170</v>
      </c>
      <c r="C208" s="0" t="inlineStr">
        <is>
          <t xml:space="preserve">us</t>
        </is>
      </c>
      <c r="D208" s="0" t="inlineStr">
        <is>
          <t xml:space="preserve">marketing</t>
        </is>
      </c>
      <c r="E208" s="0" t="inlineStr">
        <is>
          <t xml:space="preserve">travel</t>
        </is>
      </c>
      <c r="F208" s="4">
        <v>-4948</v>
      </c>
      <c r="G208" s="0" t="str">
        <f>"may26"</f>
        <v>may26</v>
      </c>
    </row>
    <row r="209">
      <c r="A209" s="0" t="inlineStr">
        <is>
          <t xml:space="preserve">j00208</t>
        </is>
      </c>
      <c r="B209" s="16">
        <v>46167</v>
      </c>
      <c r="C209" s="0" t="inlineStr">
        <is>
          <t xml:space="preserve">us</t>
        </is>
      </c>
      <c r="D209" s="0" t="inlineStr">
        <is>
          <t xml:space="preserve">engineering</t>
        </is>
      </c>
      <c r="E209" s="0" t="inlineStr">
        <is>
          <t xml:space="preserve">salaries</t>
        </is>
      </c>
      <c r="F209" s="4">
        <v>-644680</v>
      </c>
      <c r="G209" s="0" t="str">
        <f>"may26"</f>
        <v>may26</v>
      </c>
    </row>
    <row r="210">
      <c r="A210" s="0" t="inlineStr">
        <is>
          <t xml:space="preserve">j00209</t>
        </is>
      </c>
      <c r="B210" s="16">
        <v>46147</v>
      </c>
      <c r="C210" s="0" t="inlineStr">
        <is>
          <t xml:space="preserve">us</t>
        </is>
      </c>
      <c r="D210" s="0" t="inlineStr">
        <is>
          <t xml:space="preserve">engineering</t>
        </is>
      </c>
      <c r="E210" s="0" t="inlineStr">
        <is>
          <t xml:space="preserve">benefits</t>
        </is>
      </c>
      <c r="F210" s="4">
        <v>-138545</v>
      </c>
      <c r="G210" s="0" t="str">
        <f>"may26"</f>
        <v>may26</v>
      </c>
    </row>
    <row r="211">
      <c r="A211" s="0" t="inlineStr">
        <is>
          <t xml:space="preserve">j00210</t>
        </is>
      </c>
      <c r="B211" s="16">
        <v>46170</v>
      </c>
      <c r="C211" s="0" t="inlineStr">
        <is>
          <t xml:space="preserve">us</t>
        </is>
      </c>
      <c r="D211" s="0" t="inlineStr">
        <is>
          <t xml:space="preserve">engineering</t>
        </is>
      </c>
      <c r="E211" s="0" t="inlineStr">
        <is>
          <t xml:space="preserve">contractors</t>
        </is>
      </c>
      <c r="F211" s="4">
        <v>-29098</v>
      </c>
      <c r="G211" s="0" t="str">
        <f>"may26"</f>
        <v>may26</v>
      </c>
    </row>
    <row r="212">
      <c r="A212" s="0" t="inlineStr">
        <is>
          <t xml:space="preserve">j00211</t>
        </is>
      </c>
      <c r="B212" s="16">
        <v>46170</v>
      </c>
      <c r="C212" s="0" t="inlineStr">
        <is>
          <t xml:space="preserve">us</t>
        </is>
      </c>
      <c r="D212" s="0" t="inlineStr">
        <is>
          <t xml:space="preserve">engineering</t>
        </is>
      </c>
      <c r="E212" s="0" t="inlineStr">
        <is>
          <t xml:space="preserve">contractors</t>
        </is>
      </c>
      <c r="F212" s="4">
        <v>-34719</v>
      </c>
      <c r="G212" s="0" t="str">
        <f>"may26"</f>
        <v>may26</v>
      </c>
    </row>
    <row r="213">
      <c r="A213" s="0" t="inlineStr">
        <is>
          <t xml:space="preserve">j00212</t>
        </is>
      </c>
      <c r="B213" s="16">
        <v>46162</v>
      </c>
      <c r="C213" s="0" t="inlineStr">
        <is>
          <t xml:space="preserve">us</t>
        </is>
      </c>
      <c r="D213" s="0" t="inlineStr">
        <is>
          <t xml:space="preserve">engineering</t>
        </is>
      </c>
      <c r="E213" s="0" t="inlineStr">
        <is>
          <t xml:space="preserve">software</t>
        </is>
      </c>
      <c r="F213" s="4">
        <v>-8531</v>
      </c>
      <c r="G213" s="0" t="str">
        <f>"may26"</f>
        <v>may26</v>
      </c>
    </row>
    <row r="214">
      <c r="A214" s="0" t="inlineStr">
        <is>
          <t xml:space="preserve">j00213</t>
        </is>
      </c>
      <c r="B214" s="16">
        <v>46170</v>
      </c>
      <c r="C214" s="0" t="inlineStr">
        <is>
          <t xml:space="preserve">us</t>
        </is>
      </c>
      <c r="D214" s="0" t="inlineStr">
        <is>
          <t xml:space="preserve">engineering</t>
        </is>
      </c>
      <c r="E214" s="0" t="inlineStr">
        <is>
          <t xml:space="preserve">software</t>
        </is>
      </c>
      <c r="F214" s="4">
        <v>-14030</v>
      </c>
      <c r="G214" s="0" t="str">
        <f>"may26"</f>
        <v>may26</v>
      </c>
    </row>
    <row r="215">
      <c r="A215" s="0" t="inlineStr">
        <is>
          <t xml:space="preserve">j00214</t>
        </is>
      </c>
      <c r="B215" s="16">
        <v>46167</v>
      </c>
      <c r="C215" s="0" t="inlineStr">
        <is>
          <t xml:space="preserve">us</t>
        </is>
      </c>
      <c r="D215" s="0" t="inlineStr">
        <is>
          <t xml:space="preserve">customer_success</t>
        </is>
      </c>
      <c r="E215" s="0" t="inlineStr">
        <is>
          <t xml:space="preserve">salaries</t>
        </is>
      </c>
      <c r="F215" s="4">
        <v>-121837</v>
      </c>
      <c r="G215" s="0" t="str">
        <f>"may26"</f>
        <v>may26</v>
      </c>
    </row>
    <row r="216">
      <c r="A216" s="0" t="inlineStr">
        <is>
          <t xml:space="preserve">j00215</t>
        </is>
      </c>
      <c r="B216" s="16">
        <v>46162</v>
      </c>
      <c r="C216" s="0" t="inlineStr">
        <is>
          <t xml:space="preserve">us</t>
        </is>
      </c>
      <c r="D216" s="0" t="inlineStr">
        <is>
          <t xml:space="preserve">customer_success</t>
        </is>
      </c>
      <c r="E216" s="0" t="inlineStr">
        <is>
          <t xml:space="preserve">benefits</t>
        </is>
      </c>
      <c r="F216" s="4">
        <v>-28134</v>
      </c>
      <c r="G216" s="0" t="str">
        <f>"may26"</f>
        <v>may26</v>
      </c>
    </row>
    <row r="217">
      <c r="A217" s="0" t="inlineStr">
        <is>
          <t xml:space="preserve">j00216</t>
        </is>
      </c>
      <c r="B217" s="16">
        <v>46157</v>
      </c>
      <c r="C217" s="0" t="inlineStr">
        <is>
          <t xml:space="preserve">us</t>
        </is>
      </c>
      <c r="D217" s="0" t="inlineStr">
        <is>
          <t xml:space="preserve">customer_success</t>
        </is>
      </c>
      <c r="E217" s="0" t="inlineStr">
        <is>
          <t xml:space="preserve">software</t>
        </is>
      </c>
      <c r="F217" s="4">
        <v>-3156</v>
      </c>
      <c r="G217" s="0" t="str">
        <f>"may26"</f>
        <v>may26</v>
      </c>
    </row>
    <row r="218">
      <c r="A218" s="0" t="inlineStr">
        <is>
          <t xml:space="preserve">j00217</t>
        </is>
      </c>
      <c r="B218" s="16">
        <v>46157</v>
      </c>
      <c r="C218" s="0" t="inlineStr">
        <is>
          <t xml:space="preserve">us</t>
        </is>
      </c>
      <c r="D218" s="0" t="inlineStr">
        <is>
          <t xml:space="preserve">customer_success</t>
        </is>
      </c>
      <c r="E218" s="0" t="inlineStr">
        <is>
          <t xml:space="preserve">software</t>
        </is>
      </c>
      <c r="F218" s="4">
        <v>-4192</v>
      </c>
      <c r="G218" s="0" t="str">
        <f>"may26"</f>
        <v>may26</v>
      </c>
    </row>
    <row r="219">
      <c r="A219" s="0" t="inlineStr">
        <is>
          <t xml:space="preserve">j00218</t>
        </is>
      </c>
      <c r="B219" s="16">
        <v>46154</v>
      </c>
      <c r="C219" s="0" t="inlineStr">
        <is>
          <t xml:space="preserve">us</t>
        </is>
      </c>
      <c r="D219" s="0" t="inlineStr">
        <is>
          <t xml:space="preserve">customer_success</t>
        </is>
      </c>
      <c r="E219" s="0" t="inlineStr">
        <is>
          <t xml:space="preserve">travel</t>
        </is>
      </c>
      <c r="F219" s="4">
        <v>-1493</v>
      </c>
      <c r="G219" s="0" t="str">
        <f>"may26"</f>
        <v>may26</v>
      </c>
    </row>
    <row r="220">
      <c r="A220" s="0" t="inlineStr">
        <is>
          <t xml:space="preserve">j00219</t>
        </is>
      </c>
      <c r="B220" s="16">
        <v>46154</v>
      </c>
      <c r="C220" s="0" t="inlineStr">
        <is>
          <t xml:space="preserve">us</t>
        </is>
      </c>
      <c r="D220" s="0" t="inlineStr">
        <is>
          <t xml:space="preserve">customer_success</t>
        </is>
      </c>
      <c r="E220" s="0" t="inlineStr">
        <is>
          <t xml:space="preserve">travel</t>
        </is>
      </c>
      <c r="F220" s="4">
        <v>-2813</v>
      </c>
      <c r="G220" s="0" t="str">
        <f>"may26"</f>
        <v>may26</v>
      </c>
    </row>
    <row r="221">
      <c r="A221" s="0" t="inlineStr">
        <is>
          <t xml:space="preserve">j00220</t>
        </is>
      </c>
      <c r="B221" s="16">
        <v>46167</v>
      </c>
      <c r="C221" s="0" t="inlineStr">
        <is>
          <t xml:space="preserve">us</t>
        </is>
      </c>
      <c r="D221" s="0" t="inlineStr">
        <is>
          <t xml:space="preserve">g_and_a</t>
        </is>
      </c>
      <c r="E221" s="0" t="inlineStr">
        <is>
          <t xml:space="preserve">salaries</t>
        </is>
      </c>
      <c r="F221" s="4">
        <v>-137379</v>
      </c>
      <c r="G221" s="0" t="str">
        <f>"may26"</f>
        <v>may26</v>
      </c>
    </row>
    <row r="222">
      <c r="A222" s="0" t="inlineStr">
        <is>
          <t xml:space="preserve">j00221</t>
        </is>
      </c>
      <c r="B222" s="16">
        <v>46147</v>
      </c>
      <c r="C222" s="0" t="inlineStr">
        <is>
          <t xml:space="preserve">us</t>
        </is>
      </c>
      <c r="D222" s="0" t="inlineStr">
        <is>
          <t xml:space="preserve">g_and_a</t>
        </is>
      </c>
      <c r="E222" s="0" t="inlineStr">
        <is>
          <t xml:space="preserve">benefits</t>
        </is>
      </c>
      <c r="F222" s="4">
        <v>-30304</v>
      </c>
      <c r="G222" s="0" t="str">
        <f>"may26"</f>
        <v>may26</v>
      </c>
    </row>
    <row r="223">
      <c r="A223" s="0" t="inlineStr">
        <is>
          <t xml:space="preserve">j00222</t>
        </is>
      </c>
      <c r="B223" s="16">
        <v>46157</v>
      </c>
      <c r="C223" s="0" t="inlineStr">
        <is>
          <t xml:space="preserve">us</t>
        </is>
      </c>
      <c r="D223" s="0" t="inlineStr">
        <is>
          <t xml:space="preserve">g_and_a</t>
        </is>
      </c>
      <c r="E223" s="0" t="inlineStr">
        <is>
          <t xml:space="preserve">rent</t>
        </is>
      </c>
      <c r="F223" s="4">
        <v>-84293</v>
      </c>
      <c r="G223" s="0" t="str">
        <f>"may26"</f>
        <v>may26</v>
      </c>
    </row>
    <row r="224">
      <c r="A224" s="0" t="inlineStr">
        <is>
          <t xml:space="preserve">j00223</t>
        </is>
      </c>
      <c r="B224" s="16">
        <v>46154</v>
      </c>
      <c r="C224" s="0" t="inlineStr">
        <is>
          <t xml:space="preserve">us</t>
        </is>
      </c>
      <c r="D224" s="0" t="inlineStr">
        <is>
          <t xml:space="preserve">g_and_a</t>
        </is>
      </c>
      <c r="E224" s="0" t="inlineStr">
        <is>
          <t xml:space="preserve">professional_fees</t>
        </is>
      </c>
      <c r="F224" s="4">
        <v>-20076</v>
      </c>
      <c r="G224" s="0" t="str">
        <f>"may26"</f>
        <v>may26</v>
      </c>
    </row>
    <row r="225">
      <c r="A225" s="0" t="inlineStr">
        <is>
          <t xml:space="preserve">j00224</t>
        </is>
      </c>
      <c r="B225" s="16">
        <v>46162</v>
      </c>
      <c r="C225" s="0" t="inlineStr">
        <is>
          <t xml:space="preserve">us</t>
        </is>
      </c>
      <c r="D225" s="0" t="inlineStr">
        <is>
          <t xml:space="preserve">g_and_a</t>
        </is>
      </c>
      <c r="E225" s="0" t="inlineStr">
        <is>
          <t xml:space="preserve">professional_fees</t>
        </is>
      </c>
      <c r="F225" s="4">
        <v>-15782</v>
      </c>
      <c r="G225" s="0" t="str">
        <f>"may26"</f>
        <v>may26</v>
      </c>
    </row>
    <row r="226">
      <c r="A226" s="0" t="inlineStr">
        <is>
          <t xml:space="preserve">j00225</t>
        </is>
      </c>
      <c r="B226" s="16">
        <v>46154</v>
      </c>
      <c r="C226" s="0" t="inlineStr">
        <is>
          <t xml:space="preserve">us</t>
        </is>
      </c>
      <c r="D226" s="0" t="inlineStr">
        <is>
          <t xml:space="preserve">g_and_a</t>
        </is>
      </c>
      <c r="E226" s="0" t="inlineStr">
        <is>
          <t xml:space="preserve">software</t>
        </is>
      </c>
      <c r="F226" s="4">
        <v>-6451</v>
      </c>
      <c r="G226" s="0" t="str">
        <f>"may26"</f>
        <v>may26</v>
      </c>
    </row>
    <row r="227">
      <c r="A227" s="0" t="inlineStr">
        <is>
          <t xml:space="preserve">j00226</t>
        </is>
      </c>
      <c r="B227" s="16">
        <v>46154</v>
      </c>
      <c r="C227" s="0" t="inlineStr">
        <is>
          <t xml:space="preserve">us</t>
        </is>
      </c>
      <c r="D227" s="0" t="inlineStr">
        <is>
          <t xml:space="preserve">g_and_a</t>
        </is>
      </c>
      <c r="E227" s="0" t="inlineStr">
        <is>
          <t xml:space="preserve">software</t>
        </is>
      </c>
      <c r="F227" s="4">
        <v>-4688</v>
      </c>
      <c r="G227" s="0" t="str">
        <f>"may26"</f>
        <v>may26</v>
      </c>
    </row>
    <row r="228">
      <c r="A228" s="0" t="inlineStr">
        <is>
          <t xml:space="preserve">j00227</t>
        </is>
      </c>
      <c r="B228" s="16">
        <v>46170</v>
      </c>
      <c r="C228" s="0" t="inlineStr">
        <is>
          <t xml:space="preserve">us</t>
        </is>
      </c>
      <c r="D228" s="0" t="inlineStr">
        <is>
          <t xml:space="preserve">g_and_a</t>
        </is>
      </c>
      <c r="E228" s="0" t="inlineStr">
        <is>
          <t xml:space="preserve">travel</t>
        </is>
      </c>
      <c r="F228" s="4">
        <v>-5788</v>
      </c>
      <c r="G228" s="0" t="str">
        <f>"may26"</f>
        <v>may26</v>
      </c>
    </row>
    <row r="229">
      <c r="A229" s="0" t="inlineStr">
        <is>
          <t xml:space="preserve">j00228</t>
        </is>
      </c>
      <c r="B229" s="16">
        <v>46162</v>
      </c>
      <c r="C229" s="0" t="inlineStr">
        <is>
          <t xml:space="preserve">us</t>
        </is>
      </c>
      <c r="D229" s="0" t="inlineStr">
        <is>
          <t xml:space="preserve">sales</t>
        </is>
      </c>
      <c r="E229" s="0" t="inlineStr">
        <is>
          <t xml:space="preserve">commissions</t>
        </is>
      </c>
      <c r="F229" s="4">
        <v>-163915</v>
      </c>
      <c r="G229" s="0" t="str">
        <f>"may26"</f>
        <v>may26</v>
      </c>
    </row>
    <row r="230">
      <c r="A230" s="0" t="inlineStr">
        <is>
          <t xml:space="preserve">j00229</t>
        </is>
      </c>
      <c r="B230" s="16">
        <v>46154</v>
      </c>
      <c r="C230" s="0" t="inlineStr">
        <is>
          <t xml:space="preserve">us</t>
        </is>
      </c>
      <c r="D230" s="0" t="inlineStr">
        <is>
          <t xml:space="preserve">sales</t>
        </is>
      </c>
      <c r="E230" s="0" t="inlineStr">
        <is>
          <t xml:space="preserve">commissions</t>
        </is>
      </c>
      <c r="F230" s="4">
        <v>-54084</v>
      </c>
      <c r="G230" s="0" t="str">
        <f>"may26"</f>
        <v>may26</v>
      </c>
    </row>
    <row r="231">
      <c r="A231" s="0" t="inlineStr">
        <is>
          <t xml:space="preserve">j00230</t>
        </is>
      </c>
      <c r="B231" s="16">
        <v>46147</v>
      </c>
      <c r="C231" s="0" t="inlineStr">
        <is>
          <t xml:space="preserve">us</t>
        </is>
      </c>
      <c r="D231" s="0" t="inlineStr">
        <is>
          <t xml:space="preserve">marketing</t>
        </is>
      </c>
      <c r="E231" s="0" t="inlineStr">
        <is>
          <t xml:space="preserve">marketing_programs</t>
        </is>
      </c>
      <c r="F231" s="4">
        <v>-379914</v>
      </c>
      <c r="G231" s="0" t="str">
        <f>"may26"</f>
        <v>may26</v>
      </c>
    </row>
    <row r="232">
      <c r="A232" s="0" t="inlineStr">
        <is>
          <t xml:space="preserve">j00231</t>
        </is>
      </c>
      <c r="B232" s="16">
        <v>46157</v>
      </c>
      <c r="C232" s="0" t="inlineStr">
        <is>
          <t xml:space="preserve">us</t>
        </is>
      </c>
      <c r="D232" s="0" t="inlineStr">
        <is>
          <t xml:space="preserve">engineering</t>
        </is>
      </c>
      <c r="E232" s="0" t="inlineStr">
        <is>
          <t xml:space="preserve">cloud</t>
        </is>
      </c>
      <c r="F232" s="4">
        <v>-391725</v>
      </c>
      <c r="G232" s="0" t="str">
        <f>"may26"</f>
        <v>may26</v>
      </c>
    </row>
    <row r="233">
      <c r="A233" s="0" t="inlineStr">
        <is>
          <t xml:space="preserve">j00232</t>
        </is>
      </c>
      <c r="B233" s="16">
        <v>46193</v>
      </c>
      <c r="C233" s="0" t="inlineStr">
        <is>
          <t xml:space="preserve">us</t>
        </is>
      </c>
      <c r="D233" s="0" t="inlineStr">
        <is>
          <t xml:space="preserve">company</t>
        </is>
      </c>
      <c r="E233" s="0" t="inlineStr">
        <is>
          <t xml:space="preserve">revenue</t>
        </is>
      </c>
      <c r="F233" s="4">
        <v>3543535</v>
      </c>
      <c r="G233" s="0" t="str">
        <f>"jun26"</f>
        <v>jun26</v>
      </c>
    </row>
    <row r="234">
      <c r="A234" s="0" t="inlineStr">
        <is>
          <t xml:space="preserve">j00233</t>
        </is>
      </c>
      <c r="B234" s="16">
        <v>46185</v>
      </c>
      <c r="C234" s="0" t="inlineStr">
        <is>
          <t xml:space="preserve">us</t>
        </is>
      </c>
      <c r="D234" s="0" t="inlineStr">
        <is>
          <t xml:space="preserve">company</t>
        </is>
      </c>
      <c r="E234" s="0" t="inlineStr">
        <is>
          <t xml:space="preserve">revenue</t>
        </is>
      </c>
      <c r="F234" s="4">
        <v>1182263</v>
      </c>
      <c r="G234" s="0" t="str">
        <f>"jun26"</f>
        <v>jun26</v>
      </c>
    </row>
    <row r="235">
      <c r="A235" s="0" t="inlineStr">
        <is>
          <t xml:space="preserve">j00234</t>
        </is>
      </c>
      <c r="B235" s="16">
        <v>46193</v>
      </c>
      <c r="C235" s="0" t="inlineStr">
        <is>
          <t xml:space="preserve">us</t>
        </is>
      </c>
      <c r="D235" s="0" t="inlineStr">
        <is>
          <t xml:space="preserve">company</t>
        </is>
      </c>
      <c r="E235" s="0" t="inlineStr">
        <is>
          <t xml:space="preserve">cogs_hosting</t>
        </is>
      </c>
      <c r="F235" s="4">
        <v>-203613</v>
      </c>
      <c r="G235" s="0" t="str">
        <f>"jun26"</f>
        <v>jun26</v>
      </c>
    </row>
    <row r="236">
      <c r="A236" s="0" t="inlineStr">
        <is>
          <t xml:space="preserve">j00235</t>
        </is>
      </c>
      <c r="B236" s="16">
        <v>46185</v>
      </c>
      <c r="C236" s="0" t="inlineStr">
        <is>
          <t xml:space="preserve">us</t>
        </is>
      </c>
      <c r="D236" s="0" t="inlineStr">
        <is>
          <t xml:space="preserve">company</t>
        </is>
      </c>
      <c r="E236" s="0" t="inlineStr">
        <is>
          <t xml:space="preserve">cogs_hosting</t>
        </is>
      </c>
      <c r="F236" s="4">
        <v>-361839</v>
      </c>
      <c r="G236" s="0" t="str">
        <f>"jun26"</f>
        <v>jun26</v>
      </c>
    </row>
    <row r="237">
      <c r="A237" s="0" t="inlineStr">
        <is>
          <t xml:space="preserve">j00236</t>
        </is>
      </c>
      <c r="B237" s="16">
        <v>46185</v>
      </c>
      <c r="C237" s="0" t="inlineStr">
        <is>
          <t xml:space="preserve">us</t>
        </is>
      </c>
      <c r="D237" s="0" t="inlineStr">
        <is>
          <t xml:space="preserve">company</t>
        </is>
      </c>
      <c r="E237" s="0" t="inlineStr">
        <is>
          <t xml:space="preserve">cogs_support</t>
        </is>
      </c>
      <c r="F237" s="4">
        <v>-96793</v>
      </c>
      <c r="G237" s="0" t="str">
        <f>"jun26"</f>
        <v>jun26</v>
      </c>
    </row>
    <row r="238">
      <c r="A238" s="0" t="inlineStr">
        <is>
          <t xml:space="preserve">j00237</t>
        </is>
      </c>
      <c r="B238" s="16">
        <v>46188</v>
      </c>
      <c r="C238" s="0" t="inlineStr">
        <is>
          <t xml:space="preserve">us</t>
        </is>
      </c>
      <c r="D238" s="0" t="inlineStr">
        <is>
          <t xml:space="preserve">company</t>
        </is>
      </c>
      <c r="E238" s="0" t="inlineStr">
        <is>
          <t xml:space="preserve">cogs_support</t>
        </is>
      </c>
      <c r="F238" s="4">
        <v>-71984</v>
      </c>
      <c r="G238" s="0" t="str">
        <f>"jun26"</f>
        <v>jun26</v>
      </c>
    </row>
    <row r="239">
      <c r="A239" s="0" t="inlineStr">
        <is>
          <t xml:space="preserve">j00238</t>
        </is>
      </c>
      <c r="B239" s="16">
        <v>46193</v>
      </c>
      <c r="C239" s="0" t="inlineStr">
        <is>
          <t xml:space="preserve">us</t>
        </is>
      </c>
      <c r="D239" s="0" t="inlineStr">
        <is>
          <t xml:space="preserve">company</t>
        </is>
      </c>
      <c r="E239" s="0" t="inlineStr">
        <is>
          <t xml:space="preserve">cogs_support</t>
        </is>
      </c>
      <c r="F239" s="4">
        <v>-62865</v>
      </c>
      <c r="G239" s="0" t="str">
        <f>"jun26"</f>
        <v>jun26</v>
      </c>
    </row>
    <row r="240">
      <c r="A240" s="0" t="inlineStr">
        <is>
          <t xml:space="preserve">j00239</t>
        </is>
      </c>
      <c r="B240" s="16">
        <v>46198</v>
      </c>
      <c r="C240" s="0" t="inlineStr">
        <is>
          <t xml:space="preserve">us</t>
        </is>
      </c>
      <c r="D240" s="0" t="inlineStr">
        <is>
          <t xml:space="preserve">sales</t>
        </is>
      </c>
      <c r="E240" s="0" t="inlineStr">
        <is>
          <t xml:space="preserve">salaries</t>
        </is>
      </c>
      <c r="F240" s="4">
        <v>-359403</v>
      </c>
      <c r="G240" s="0" t="str">
        <f>"jun26"</f>
        <v>jun26</v>
      </c>
    </row>
    <row r="241">
      <c r="A241" s="0" t="inlineStr">
        <is>
          <t xml:space="preserve">j00240</t>
        </is>
      </c>
      <c r="B241" s="16">
        <v>46185</v>
      </c>
      <c r="C241" s="0" t="inlineStr">
        <is>
          <t xml:space="preserve">us</t>
        </is>
      </c>
      <c r="D241" s="0" t="inlineStr">
        <is>
          <t xml:space="preserve">sales</t>
        </is>
      </c>
      <c r="E241" s="0" t="inlineStr">
        <is>
          <t xml:space="preserve">benefits</t>
        </is>
      </c>
      <c r="F241" s="4">
        <v>-69735</v>
      </c>
      <c r="G241" s="0" t="str">
        <f>"jun26"</f>
        <v>jun26</v>
      </c>
    </row>
    <row r="242">
      <c r="A242" s="0" t="inlineStr">
        <is>
          <t xml:space="preserve">j00241</t>
        </is>
      </c>
      <c r="B242" s="16">
        <v>46201</v>
      </c>
      <c r="C242" s="0" t="inlineStr">
        <is>
          <t xml:space="preserve">us</t>
        </is>
      </c>
      <c r="D242" s="0" t="inlineStr">
        <is>
          <t xml:space="preserve">sales</t>
        </is>
      </c>
      <c r="E242" s="0" t="inlineStr">
        <is>
          <t xml:space="preserve">travel</t>
        </is>
      </c>
      <c r="F242" s="4">
        <v>-20068</v>
      </c>
      <c r="G242" s="0" t="str">
        <f>"jun26"</f>
        <v>jun26</v>
      </c>
    </row>
    <row r="243">
      <c r="A243" s="0" t="inlineStr">
        <is>
          <t xml:space="preserve">j00242</t>
        </is>
      </c>
      <c r="B243" s="16">
        <v>46185</v>
      </c>
      <c r="C243" s="0" t="inlineStr">
        <is>
          <t xml:space="preserve">us</t>
        </is>
      </c>
      <c r="D243" s="0" t="inlineStr">
        <is>
          <t xml:space="preserve">sales</t>
        </is>
      </c>
      <c r="E243" s="0" t="inlineStr">
        <is>
          <t xml:space="preserve">travel</t>
        </is>
      </c>
      <c r="F243" s="4">
        <v>-18281</v>
      </c>
      <c r="G243" s="0" t="str">
        <f>"jun26"</f>
        <v>jun26</v>
      </c>
    </row>
    <row r="244">
      <c r="A244" s="0" t="inlineStr">
        <is>
          <t xml:space="preserve">j00243</t>
        </is>
      </c>
      <c r="B244" s="16">
        <v>46178</v>
      </c>
      <c r="C244" s="0" t="inlineStr">
        <is>
          <t xml:space="preserve">us</t>
        </is>
      </c>
      <c r="D244" s="0" t="inlineStr">
        <is>
          <t xml:space="preserve">sales</t>
        </is>
      </c>
      <c r="E244" s="0" t="inlineStr">
        <is>
          <t xml:space="preserve">software</t>
        </is>
      </c>
      <c r="F244" s="4">
        <v>-1541</v>
      </c>
      <c r="G244" s="0" t="str">
        <f>"jun26"</f>
        <v>jun26</v>
      </c>
    </row>
    <row r="245">
      <c r="A245" s="0" t="inlineStr">
        <is>
          <t xml:space="preserve">j00244</t>
        </is>
      </c>
      <c r="B245" s="16">
        <v>46201</v>
      </c>
      <c r="C245" s="0" t="inlineStr">
        <is>
          <t xml:space="preserve">us</t>
        </is>
      </c>
      <c r="D245" s="0" t="inlineStr">
        <is>
          <t xml:space="preserve">sales</t>
        </is>
      </c>
      <c r="E245" s="0" t="inlineStr">
        <is>
          <t xml:space="preserve">software</t>
        </is>
      </c>
      <c r="F245" s="4">
        <v>-3930</v>
      </c>
      <c r="G245" s="0" t="str">
        <f>"jun26"</f>
        <v>jun26</v>
      </c>
    </row>
    <row r="246">
      <c r="A246" s="0" t="inlineStr">
        <is>
          <t xml:space="preserve">j00245</t>
        </is>
      </c>
      <c r="B246" s="16">
        <v>46185</v>
      </c>
      <c r="C246" s="0" t="inlineStr">
        <is>
          <t xml:space="preserve">us</t>
        </is>
      </c>
      <c r="D246" s="0" t="inlineStr">
        <is>
          <t xml:space="preserve">sales</t>
        </is>
      </c>
      <c r="E246" s="0" t="inlineStr">
        <is>
          <t xml:space="preserve">software</t>
        </is>
      </c>
      <c r="F246" s="4">
        <v>-4040</v>
      </c>
      <c r="G246" s="0" t="str">
        <f>"jun26"</f>
        <v>jun26</v>
      </c>
    </row>
    <row r="247">
      <c r="A247" s="0" t="inlineStr">
        <is>
          <t xml:space="preserve">j00246</t>
        </is>
      </c>
      <c r="B247" s="16">
        <v>46198</v>
      </c>
      <c r="C247" s="0" t="inlineStr">
        <is>
          <t xml:space="preserve">us</t>
        </is>
      </c>
      <c r="D247" s="0" t="inlineStr">
        <is>
          <t xml:space="preserve">marketing</t>
        </is>
      </c>
      <c r="E247" s="0" t="inlineStr">
        <is>
          <t xml:space="preserve">salaries</t>
        </is>
      </c>
      <c r="F247" s="4">
        <v>-119301</v>
      </c>
      <c r="G247" s="0" t="str">
        <f>"jun26"</f>
        <v>jun26</v>
      </c>
    </row>
    <row r="248">
      <c r="A248" s="0" t="inlineStr">
        <is>
          <t xml:space="preserve">j00247</t>
        </is>
      </c>
      <c r="B248" s="16">
        <v>46188</v>
      </c>
      <c r="C248" s="0" t="inlineStr">
        <is>
          <t xml:space="preserve">us</t>
        </is>
      </c>
      <c r="D248" s="0" t="inlineStr">
        <is>
          <t xml:space="preserve">marketing</t>
        </is>
      </c>
      <c r="E248" s="0" t="inlineStr">
        <is>
          <t xml:space="preserve">benefits</t>
        </is>
      </c>
      <c r="F248" s="4">
        <v>-26927</v>
      </c>
      <c r="G248" s="0" t="str">
        <f>"jun26"</f>
        <v>jun26</v>
      </c>
    </row>
    <row r="249">
      <c r="A249" s="0" t="inlineStr">
        <is>
          <t xml:space="preserve">j00248</t>
        </is>
      </c>
      <c r="B249" s="16">
        <v>46188</v>
      </c>
      <c r="C249" s="0" t="inlineStr">
        <is>
          <t xml:space="preserve">us</t>
        </is>
      </c>
      <c r="D249" s="0" t="inlineStr">
        <is>
          <t xml:space="preserve">marketing</t>
        </is>
      </c>
      <c r="E249" s="0" t="inlineStr">
        <is>
          <t xml:space="preserve">software</t>
        </is>
      </c>
      <c r="F249" s="4">
        <v>-1841</v>
      </c>
      <c r="G249" s="0" t="str">
        <f>"jun26"</f>
        <v>jun26</v>
      </c>
    </row>
    <row r="250">
      <c r="A250" s="0" t="inlineStr">
        <is>
          <t xml:space="preserve">j00249</t>
        </is>
      </c>
      <c r="B250" s="16">
        <v>46193</v>
      </c>
      <c r="C250" s="0" t="inlineStr">
        <is>
          <t xml:space="preserve">us</t>
        </is>
      </c>
      <c r="D250" s="0" t="inlineStr">
        <is>
          <t xml:space="preserve">marketing</t>
        </is>
      </c>
      <c r="E250" s="0" t="inlineStr">
        <is>
          <t xml:space="preserve">software</t>
        </is>
      </c>
      <c r="F250" s="4">
        <v>-4883</v>
      </c>
      <c r="G250" s="0" t="str">
        <f>"jun26"</f>
        <v>jun26</v>
      </c>
    </row>
    <row r="251">
      <c r="A251" s="0" t="inlineStr">
        <is>
          <t xml:space="preserve">j00250</t>
        </is>
      </c>
      <c r="B251" s="16">
        <v>46185</v>
      </c>
      <c r="C251" s="0" t="inlineStr">
        <is>
          <t xml:space="preserve">us</t>
        </is>
      </c>
      <c r="D251" s="0" t="inlineStr">
        <is>
          <t xml:space="preserve">marketing</t>
        </is>
      </c>
      <c r="E251" s="0" t="inlineStr">
        <is>
          <t xml:space="preserve">software</t>
        </is>
      </c>
      <c r="F251" s="4">
        <v>-7058</v>
      </c>
      <c r="G251" s="0" t="str">
        <f>"jun26"</f>
        <v>jun26</v>
      </c>
    </row>
    <row r="252">
      <c r="A252" s="0" t="inlineStr">
        <is>
          <t xml:space="preserve">j00251</t>
        </is>
      </c>
      <c r="B252" s="16">
        <v>46201</v>
      </c>
      <c r="C252" s="0" t="inlineStr">
        <is>
          <t xml:space="preserve">us</t>
        </is>
      </c>
      <c r="D252" s="0" t="inlineStr">
        <is>
          <t xml:space="preserve">marketing</t>
        </is>
      </c>
      <c r="E252" s="0" t="inlineStr">
        <is>
          <t xml:space="preserve">travel</t>
        </is>
      </c>
      <c r="F252" s="4">
        <v>-7920</v>
      </c>
      <c r="G252" s="0" t="str">
        <f>"jun26"</f>
        <v>jun26</v>
      </c>
    </row>
    <row r="253">
      <c r="A253" s="0" t="inlineStr">
        <is>
          <t xml:space="preserve">j00252</t>
        </is>
      </c>
      <c r="B253" s="16">
        <v>46201</v>
      </c>
      <c r="C253" s="0" t="inlineStr">
        <is>
          <t xml:space="preserve">us</t>
        </is>
      </c>
      <c r="D253" s="0" t="inlineStr">
        <is>
          <t xml:space="preserve">marketing</t>
        </is>
      </c>
      <c r="E253" s="0" t="inlineStr">
        <is>
          <t xml:space="preserve">travel</t>
        </is>
      </c>
      <c r="F253" s="4">
        <v>-4716</v>
      </c>
      <c r="G253" s="0" t="str">
        <f>"jun26"</f>
        <v>jun26</v>
      </c>
    </row>
    <row r="254">
      <c r="A254" s="0" t="inlineStr">
        <is>
          <t xml:space="preserve">j00253</t>
        </is>
      </c>
      <c r="B254" s="16">
        <v>46198</v>
      </c>
      <c r="C254" s="0" t="inlineStr">
        <is>
          <t xml:space="preserve">us</t>
        </is>
      </c>
      <c r="D254" s="0" t="inlineStr">
        <is>
          <t xml:space="preserve">engineering</t>
        </is>
      </c>
      <c r="E254" s="0" t="inlineStr">
        <is>
          <t xml:space="preserve">salaries</t>
        </is>
      </c>
      <c r="F254" s="4">
        <v>-741138</v>
      </c>
      <c r="G254" s="0" t="str">
        <f>"jun26"</f>
        <v>jun26</v>
      </c>
    </row>
    <row r="255">
      <c r="A255" s="0" t="inlineStr">
        <is>
          <t xml:space="preserve">j00254</t>
        </is>
      </c>
      <c r="B255" s="16">
        <v>46178</v>
      </c>
      <c r="C255" s="0" t="inlineStr">
        <is>
          <t xml:space="preserve">us</t>
        </is>
      </c>
      <c r="D255" s="0" t="inlineStr">
        <is>
          <t xml:space="preserve">engineering</t>
        </is>
      </c>
      <c r="E255" s="0" t="inlineStr">
        <is>
          <t xml:space="preserve">benefits</t>
        </is>
      </c>
      <c r="F255" s="4">
        <v>-152701</v>
      </c>
      <c r="G255" s="0" t="str">
        <f>"jun26"</f>
        <v>jun26</v>
      </c>
    </row>
    <row r="256">
      <c r="A256" s="0" t="inlineStr">
        <is>
          <t xml:space="preserve">j00255</t>
        </is>
      </c>
      <c r="B256" s="16">
        <v>46201</v>
      </c>
      <c r="C256" s="0" t="inlineStr">
        <is>
          <t xml:space="preserve">us</t>
        </is>
      </c>
      <c r="D256" s="0" t="inlineStr">
        <is>
          <t xml:space="preserve">engineering</t>
        </is>
      </c>
      <c r="E256" s="0" t="inlineStr">
        <is>
          <t xml:space="preserve">contractors</t>
        </is>
      </c>
      <c r="F256" s="4">
        <v>-17043</v>
      </c>
      <c r="G256" s="0" t="str">
        <f>"jun26"</f>
        <v>jun26</v>
      </c>
    </row>
    <row r="257">
      <c r="A257" s="0" t="inlineStr">
        <is>
          <t xml:space="preserve">j00256</t>
        </is>
      </c>
      <c r="B257" s="16">
        <v>46178</v>
      </c>
      <c r="C257" s="0" t="inlineStr">
        <is>
          <t xml:space="preserve">us</t>
        </is>
      </c>
      <c r="D257" s="0" t="inlineStr">
        <is>
          <t xml:space="preserve">engineering</t>
        </is>
      </c>
      <c r="E257" s="0" t="inlineStr">
        <is>
          <t xml:space="preserve">contractors</t>
        </is>
      </c>
      <c r="F257" s="4">
        <v>-18762</v>
      </c>
      <c r="G257" s="0" t="str">
        <f>"jun26"</f>
        <v>jun26</v>
      </c>
    </row>
    <row r="258">
      <c r="A258" s="0" t="inlineStr">
        <is>
          <t xml:space="preserve">j00257</t>
        </is>
      </c>
      <c r="B258" s="16">
        <v>46188</v>
      </c>
      <c r="C258" s="0" t="inlineStr">
        <is>
          <t xml:space="preserve">us</t>
        </is>
      </c>
      <c r="D258" s="0" t="inlineStr">
        <is>
          <t xml:space="preserve">engineering</t>
        </is>
      </c>
      <c r="E258" s="0" t="inlineStr">
        <is>
          <t xml:space="preserve">contractors</t>
        </is>
      </c>
      <c r="F258" s="4">
        <v>-24314</v>
      </c>
      <c r="G258" s="0" t="str">
        <f>"jun26"</f>
        <v>jun26</v>
      </c>
    </row>
    <row r="259">
      <c r="A259" s="0" t="inlineStr">
        <is>
          <t xml:space="preserve">j00258</t>
        </is>
      </c>
      <c r="B259" s="16">
        <v>46193</v>
      </c>
      <c r="C259" s="0" t="inlineStr">
        <is>
          <t xml:space="preserve">us</t>
        </is>
      </c>
      <c r="D259" s="0" t="inlineStr">
        <is>
          <t xml:space="preserve">engineering</t>
        </is>
      </c>
      <c r="E259" s="0" t="inlineStr">
        <is>
          <t xml:space="preserve">software</t>
        </is>
      </c>
      <c r="F259" s="4">
        <v>-21510</v>
      </c>
      <c r="G259" s="0" t="str">
        <f>"jun26"</f>
        <v>jun26</v>
      </c>
    </row>
    <row r="260">
      <c r="A260" s="0" t="inlineStr">
        <is>
          <t xml:space="preserve">j00259</t>
        </is>
      </c>
      <c r="B260" s="16">
        <v>46198</v>
      </c>
      <c r="C260" s="0" t="inlineStr">
        <is>
          <t xml:space="preserve">us</t>
        </is>
      </c>
      <c r="D260" s="0" t="inlineStr">
        <is>
          <t xml:space="preserve">customer_success</t>
        </is>
      </c>
      <c r="E260" s="0" t="inlineStr">
        <is>
          <t xml:space="preserve">salaries</t>
        </is>
      </c>
      <c r="F260" s="4">
        <v>-130875</v>
      </c>
      <c r="G260" s="0" t="str">
        <f>"jun26"</f>
        <v>jun26</v>
      </c>
    </row>
    <row r="261">
      <c r="A261" s="0" t="inlineStr">
        <is>
          <t xml:space="preserve">j00260</t>
        </is>
      </c>
      <c r="B261" s="16">
        <v>46193</v>
      </c>
      <c r="C261" s="0" t="inlineStr">
        <is>
          <t xml:space="preserve">us</t>
        </is>
      </c>
      <c r="D261" s="0" t="inlineStr">
        <is>
          <t xml:space="preserve">customer_success</t>
        </is>
      </c>
      <c r="E261" s="0" t="inlineStr">
        <is>
          <t xml:space="preserve">benefits</t>
        </is>
      </c>
      <c r="F261" s="4">
        <v>-26010</v>
      </c>
      <c r="G261" s="0" t="str">
        <f>"jun26"</f>
        <v>jun26</v>
      </c>
    </row>
    <row r="262">
      <c r="A262" s="0" t="inlineStr">
        <is>
          <t xml:space="preserve">j00261</t>
        </is>
      </c>
      <c r="B262" s="16">
        <v>46178</v>
      </c>
      <c r="C262" s="0" t="inlineStr">
        <is>
          <t xml:space="preserve">us</t>
        </is>
      </c>
      <c r="D262" s="0" t="inlineStr">
        <is>
          <t xml:space="preserve">customer_success</t>
        </is>
      </c>
      <c r="E262" s="0" t="inlineStr">
        <is>
          <t xml:space="preserve">software</t>
        </is>
      </c>
      <c r="F262" s="4">
        <v>-3324</v>
      </c>
      <c r="G262" s="0" t="str">
        <f>"jun26"</f>
        <v>jun26</v>
      </c>
    </row>
    <row r="263">
      <c r="A263" s="0" t="inlineStr">
        <is>
          <t xml:space="preserve">j00262</t>
        </is>
      </c>
      <c r="B263" s="16">
        <v>46178</v>
      </c>
      <c r="C263" s="0" t="inlineStr">
        <is>
          <t xml:space="preserve">us</t>
        </is>
      </c>
      <c r="D263" s="0" t="inlineStr">
        <is>
          <t xml:space="preserve">customer_success</t>
        </is>
      </c>
      <c r="E263" s="0" t="inlineStr">
        <is>
          <t xml:space="preserve">software</t>
        </is>
      </c>
      <c r="F263" s="4">
        <v>-1792</v>
      </c>
      <c r="G263" s="0" t="str">
        <f>"jun26"</f>
        <v>jun26</v>
      </c>
    </row>
    <row r="264">
      <c r="A264" s="0" t="inlineStr">
        <is>
          <t xml:space="preserve">j00263</t>
        </is>
      </c>
      <c r="B264" s="16">
        <v>46193</v>
      </c>
      <c r="C264" s="0" t="inlineStr">
        <is>
          <t xml:space="preserve">us</t>
        </is>
      </c>
      <c r="D264" s="0" t="inlineStr">
        <is>
          <t xml:space="preserve">customer_success</t>
        </is>
      </c>
      <c r="E264" s="0" t="inlineStr">
        <is>
          <t xml:space="preserve">software</t>
        </is>
      </c>
      <c r="F264" s="4">
        <v>-2445</v>
      </c>
      <c r="G264" s="0" t="str">
        <f>"jun26"</f>
        <v>jun26</v>
      </c>
    </row>
    <row r="265">
      <c r="A265" s="0" t="inlineStr">
        <is>
          <t xml:space="preserve">j00264</t>
        </is>
      </c>
      <c r="B265" s="16">
        <v>46178</v>
      </c>
      <c r="C265" s="0" t="inlineStr">
        <is>
          <t xml:space="preserve">us</t>
        </is>
      </c>
      <c r="D265" s="0" t="inlineStr">
        <is>
          <t xml:space="preserve">customer_success</t>
        </is>
      </c>
      <c r="E265" s="0" t="inlineStr">
        <is>
          <t xml:space="preserve">travel</t>
        </is>
      </c>
      <c r="F265" s="4">
        <v>-2079</v>
      </c>
      <c r="G265" s="0" t="str">
        <f>"jun26"</f>
        <v>jun26</v>
      </c>
    </row>
    <row r="266">
      <c r="A266" s="0" t="inlineStr">
        <is>
          <t xml:space="preserve">j00265</t>
        </is>
      </c>
      <c r="B266" s="16">
        <v>46201</v>
      </c>
      <c r="C266" s="0" t="inlineStr">
        <is>
          <t xml:space="preserve">us</t>
        </is>
      </c>
      <c r="D266" s="0" t="inlineStr">
        <is>
          <t xml:space="preserve">customer_success</t>
        </is>
      </c>
      <c r="E266" s="0" t="inlineStr">
        <is>
          <t xml:space="preserve">travel</t>
        </is>
      </c>
      <c r="F266" s="4">
        <v>-2262</v>
      </c>
      <c r="G266" s="0" t="str">
        <f>"jun26"</f>
        <v>jun26</v>
      </c>
    </row>
    <row r="267">
      <c r="A267" s="0" t="inlineStr">
        <is>
          <t xml:space="preserve">j00266</t>
        </is>
      </c>
      <c r="B267" s="16">
        <v>46198</v>
      </c>
      <c r="C267" s="0" t="inlineStr">
        <is>
          <t xml:space="preserve">us</t>
        </is>
      </c>
      <c r="D267" s="0" t="inlineStr">
        <is>
          <t xml:space="preserve">g_and_a</t>
        </is>
      </c>
      <c r="E267" s="0" t="inlineStr">
        <is>
          <t xml:space="preserve">salaries</t>
        </is>
      </c>
      <c r="F267" s="4">
        <v>-142220</v>
      </c>
      <c r="G267" s="0" t="str">
        <f>"jun26"</f>
        <v>jun26</v>
      </c>
    </row>
    <row r="268">
      <c r="A268" s="0" t="inlineStr">
        <is>
          <t xml:space="preserve">j00267</t>
        </is>
      </c>
      <c r="B268" s="16">
        <v>46185</v>
      </c>
      <c r="C268" s="0" t="inlineStr">
        <is>
          <t xml:space="preserve">us</t>
        </is>
      </c>
      <c r="D268" s="0" t="inlineStr">
        <is>
          <t xml:space="preserve">g_and_a</t>
        </is>
      </c>
      <c r="E268" s="0" t="inlineStr">
        <is>
          <t xml:space="preserve">benefits</t>
        </is>
      </c>
      <c r="F268" s="4">
        <v>-29107</v>
      </c>
      <c r="G268" s="0" t="str">
        <f>"jun26"</f>
        <v>jun26</v>
      </c>
    </row>
    <row r="269">
      <c r="A269" s="0" t="inlineStr">
        <is>
          <t xml:space="preserve">j00268</t>
        </is>
      </c>
      <c r="B269" s="16">
        <v>46193</v>
      </c>
      <c r="C269" s="0" t="inlineStr">
        <is>
          <t xml:space="preserve">us</t>
        </is>
      </c>
      <c r="D269" s="0" t="inlineStr">
        <is>
          <t xml:space="preserve">g_and_a</t>
        </is>
      </c>
      <c r="E269" s="0" t="inlineStr">
        <is>
          <t xml:space="preserve">rent</t>
        </is>
      </c>
      <c r="F269" s="4">
        <v>-82214</v>
      </c>
      <c r="G269" s="0" t="str">
        <f>"jun26"</f>
        <v>jun26</v>
      </c>
    </row>
    <row r="270">
      <c r="A270" s="0" t="inlineStr">
        <is>
          <t xml:space="preserve">j00269</t>
        </is>
      </c>
      <c r="B270" s="16">
        <v>46188</v>
      </c>
      <c r="C270" s="0" t="inlineStr">
        <is>
          <t xml:space="preserve">us</t>
        </is>
      </c>
      <c r="D270" s="0" t="inlineStr">
        <is>
          <t xml:space="preserve">g_and_a</t>
        </is>
      </c>
      <c r="E270" s="0" t="inlineStr">
        <is>
          <t xml:space="preserve">professional_fees</t>
        </is>
      </c>
      <c r="F270" s="4">
        <v>-13909</v>
      </c>
      <c r="G270" s="0" t="str">
        <f>"jun26"</f>
        <v>jun26</v>
      </c>
    </row>
    <row r="271">
      <c r="A271" s="0" t="inlineStr">
        <is>
          <t xml:space="preserve">j00270</t>
        </is>
      </c>
      <c r="B271" s="16">
        <v>46193</v>
      </c>
      <c r="C271" s="0" t="inlineStr">
        <is>
          <t xml:space="preserve">us</t>
        </is>
      </c>
      <c r="D271" s="0" t="inlineStr">
        <is>
          <t xml:space="preserve">g_and_a</t>
        </is>
      </c>
      <c r="E271" s="0" t="inlineStr">
        <is>
          <t xml:space="preserve">professional_fees</t>
        </is>
      </c>
      <c r="F271" s="4">
        <v>-9831</v>
      </c>
      <c r="G271" s="0" t="str">
        <f>"jun26"</f>
        <v>jun26</v>
      </c>
    </row>
    <row r="272">
      <c r="A272" s="0" t="inlineStr">
        <is>
          <t xml:space="preserve">j00271</t>
        </is>
      </c>
      <c r="B272" s="16">
        <v>46178</v>
      </c>
      <c r="C272" s="0" t="inlineStr">
        <is>
          <t xml:space="preserve">us</t>
        </is>
      </c>
      <c r="D272" s="0" t="inlineStr">
        <is>
          <t xml:space="preserve">g_and_a</t>
        </is>
      </c>
      <c r="E272" s="0" t="inlineStr">
        <is>
          <t xml:space="preserve">professional_fees</t>
        </is>
      </c>
      <c r="F272" s="4">
        <v>-11432</v>
      </c>
      <c r="G272" s="0" t="str">
        <f>"jun26"</f>
        <v>jun26</v>
      </c>
    </row>
    <row r="273">
      <c r="A273" s="0" t="inlineStr">
        <is>
          <t xml:space="preserve">j00272</t>
        </is>
      </c>
      <c r="B273" s="16">
        <v>46178</v>
      </c>
      <c r="C273" s="0" t="inlineStr">
        <is>
          <t xml:space="preserve">us</t>
        </is>
      </c>
      <c r="D273" s="0" t="inlineStr">
        <is>
          <t xml:space="preserve">g_and_a</t>
        </is>
      </c>
      <c r="E273" s="0" t="inlineStr">
        <is>
          <t xml:space="preserve">software</t>
        </is>
      </c>
      <c r="F273" s="4">
        <v>-4427</v>
      </c>
      <c r="G273" s="0" t="str">
        <f>"jun26"</f>
        <v>jun26</v>
      </c>
    </row>
    <row r="274">
      <c r="A274" s="0" t="inlineStr">
        <is>
          <t xml:space="preserve">j00273</t>
        </is>
      </c>
      <c r="B274" s="16">
        <v>46201</v>
      </c>
      <c r="C274" s="0" t="inlineStr">
        <is>
          <t xml:space="preserve">us</t>
        </is>
      </c>
      <c r="D274" s="0" t="inlineStr">
        <is>
          <t xml:space="preserve">g_and_a</t>
        </is>
      </c>
      <c r="E274" s="0" t="inlineStr">
        <is>
          <t xml:space="preserve">software</t>
        </is>
      </c>
      <c r="F274" s="4">
        <v>-3904</v>
      </c>
      <c r="G274" s="0" t="str">
        <f>"jun26"</f>
        <v>jun26</v>
      </c>
    </row>
    <row r="275">
      <c r="A275" s="0" t="inlineStr">
        <is>
          <t xml:space="preserve">j00274</t>
        </is>
      </c>
      <c r="B275" s="16">
        <v>46193</v>
      </c>
      <c r="C275" s="0" t="inlineStr">
        <is>
          <t xml:space="preserve">us</t>
        </is>
      </c>
      <c r="D275" s="0" t="inlineStr">
        <is>
          <t xml:space="preserve">g_and_a</t>
        </is>
      </c>
      <c r="E275" s="0" t="inlineStr">
        <is>
          <t xml:space="preserve">software</t>
        </is>
      </c>
      <c r="F275" s="4">
        <v>-3939</v>
      </c>
      <c r="G275" s="0" t="str">
        <f>"jun26"</f>
        <v>jun26</v>
      </c>
    </row>
    <row r="276">
      <c r="A276" s="0" t="inlineStr">
        <is>
          <t xml:space="preserve">j00275</t>
        </is>
      </c>
      <c r="B276" s="16">
        <v>46185</v>
      </c>
      <c r="C276" s="0" t="inlineStr">
        <is>
          <t xml:space="preserve">us</t>
        </is>
      </c>
      <c r="D276" s="0" t="inlineStr">
        <is>
          <t xml:space="preserve">g_and_a</t>
        </is>
      </c>
      <c r="E276" s="0" t="inlineStr">
        <is>
          <t xml:space="preserve">travel</t>
        </is>
      </c>
      <c r="F276" s="4">
        <v>-5890</v>
      </c>
      <c r="G276" s="0" t="str">
        <f>"jun26"</f>
        <v>jun26</v>
      </c>
    </row>
    <row r="277">
      <c r="A277" s="0" t="inlineStr">
        <is>
          <t xml:space="preserve">j00276</t>
        </is>
      </c>
      <c r="B277" s="16">
        <v>46188</v>
      </c>
      <c r="C277" s="0" t="inlineStr">
        <is>
          <t xml:space="preserve">us</t>
        </is>
      </c>
      <c r="D277" s="0" t="inlineStr">
        <is>
          <t xml:space="preserve">sales</t>
        </is>
      </c>
      <c r="E277" s="0" t="inlineStr">
        <is>
          <t xml:space="preserve">commissions</t>
        </is>
      </c>
      <c r="F277" s="4">
        <v>-75607</v>
      </c>
      <c r="G277" s="0" t="str">
        <f>"jun26"</f>
        <v>jun26</v>
      </c>
    </row>
    <row r="278">
      <c r="A278" s="0" t="inlineStr">
        <is>
          <t xml:space="preserve">j00277</t>
        </is>
      </c>
      <c r="B278" s="16">
        <v>46185</v>
      </c>
      <c r="C278" s="0" t="inlineStr">
        <is>
          <t xml:space="preserve">us</t>
        </is>
      </c>
      <c r="D278" s="0" t="inlineStr">
        <is>
          <t xml:space="preserve">sales</t>
        </is>
      </c>
      <c r="E278" s="0" t="inlineStr">
        <is>
          <t xml:space="preserve">commissions</t>
        </is>
      </c>
      <c r="F278" s="4">
        <v>-60878</v>
      </c>
      <c r="G278" s="0" t="str">
        <f>"jun26"</f>
        <v>jun26</v>
      </c>
    </row>
    <row r="279">
      <c r="A279" s="0" t="inlineStr">
        <is>
          <t xml:space="preserve">j00278</t>
        </is>
      </c>
      <c r="B279" s="16">
        <v>46201</v>
      </c>
      <c r="C279" s="0" t="inlineStr">
        <is>
          <t xml:space="preserve">us</t>
        </is>
      </c>
      <c r="D279" s="0" t="inlineStr">
        <is>
          <t xml:space="preserve">sales</t>
        </is>
      </c>
      <c r="E279" s="0" t="inlineStr">
        <is>
          <t xml:space="preserve">commissions</t>
        </is>
      </c>
      <c r="F279" s="4">
        <v>-79596</v>
      </c>
      <c r="G279" s="0" t="str">
        <f>"jun26"</f>
        <v>jun26</v>
      </c>
    </row>
    <row r="280">
      <c r="A280" s="0" t="inlineStr">
        <is>
          <t xml:space="preserve">j00279</t>
        </is>
      </c>
      <c r="B280" s="16">
        <v>46201</v>
      </c>
      <c r="C280" s="0" t="inlineStr">
        <is>
          <t xml:space="preserve">us</t>
        </is>
      </c>
      <c r="D280" s="0" t="inlineStr">
        <is>
          <t xml:space="preserve">marketing</t>
        </is>
      </c>
      <c r="E280" s="0" t="inlineStr">
        <is>
          <t xml:space="preserve">marketing_programs</t>
        </is>
      </c>
      <c r="F280" s="4">
        <v>-380672</v>
      </c>
      <c r="G280" s="0" t="str">
        <f>"jun26"</f>
        <v>jun26</v>
      </c>
    </row>
    <row r="281">
      <c r="A281" s="0" t="inlineStr">
        <is>
          <t xml:space="preserve">j00280</t>
        </is>
      </c>
      <c r="B281" s="16">
        <v>46188</v>
      </c>
      <c r="C281" s="0" t="inlineStr">
        <is>
          <t xml:space="preserve">us</t>
        </is>
      </c>
      <c r="D281" s="0" t="inlineStr">
        <is>
          <t xml:space="preserve">engineering</t>
        </is>
      </c>
      <c r="E281" s="0" t="inlineStr">
        <is>
          <t xml:space="preserve">cloud</t>
        </is>
      </c>
      <c r="F281" s="4">
        <v>-341483</v>
      </c>
      <c r="G281" s="0" t="str">
        <f>"jun26"</f>
        <v>jun26</v>
      </c>
    </row>
    <row r="282">
      <c r="A282" s="0" t="inlineStr">
        <is>
          <t xml:space="preserve">j00281</t>
        </is>
      </c>
      <c r="B282" s="16">
        <v>46185</v>
      </c>
      <c r="C282" s="0" t="inlineStr">
        <is>
          <t xml:space="preserve">us</t>
        </is>
      </c>
      <c r="D282" s="0" t="inlineStr">
        <is>
          <t xml:space="preserve">engineering</t>
        </is>
      </c>
      <c r="E282" s="0" t="inlineStr">
        <is>
          <t xml:space="preserve">cloud</t>
        </is>
      </c>
      <c r="F282" s="4">
        <v>-115038</v>
      </c>
      <c r="G282" s="0" t="str">
        <f>"jun26"</f>
        <v>jun26</v>
      </c>
    </row>
    <row r="283">
      <c r="A283" s="0" t="inlineStr">
        <is>
          <t xml:space="preserve">j00282</t>
        </is>
      </c>
      <c r="B283" s="16">
        <v>46223</v>
      </c>
      <c r="C283" s="0" t="inlineStr">
        <is>
          <t xml:space="preserve">us</t>
        </is>
      </c>
      <c r="D283" s="0" t="inlineStr">
        <is>
          <t xml:space="preserve">company</t>
        </is>
      </c>
      <c r="E283" s="0" t="inlineStr">
        <is>
          <t xml:space="preserve">revenue</t>
        </is>
      </c>
      <c r="F283" s="4">
        <v>2042331</v>
      </c>
      <c r="G283" s="0" t="str">
        <f>"jul26"</f>
        <v>jul26</v>
      </c>
    </row>
    <row r="284">
      <c r="A284" s="0" t="inlineStr">
        <is>
          <t xml:space="preserve">j00283</t>
        </is>
      </c>
      <c r="B284" s="16">
        <v>46223</v>
      </c>
      <c r="C284" s="0" t="inlineStr">
        <is>
          <t xml:space="preserve">us</t>
        </is>
      </c>
      <c r="D284" s="0" t="inlineStr">
        <is>
          <t xml:space="preserve">company</t>
        </is>
      </c>
      <c r="E284" s="0" t="inlineStr">
        <is>
          <t xml:space="preserve">revenue</t>
        </is>
      </c>
      <c r="F284" s="4">
        <v>1190131</v>
      </c>
      <c r="G284" s="0" t="str">
        <f>"jul26"</f>
        <v>jul26</v>
      </c>
    </row>
    <row r="285">
      <c r="A285" s="0" t="inlineStr">
        <is>
          <t xml:space="preserve">j00284</t>
        </is>
      </c>
      <c r="B285" s="16">
        <v>46208</v>
      </c>
      <c r="C285" s="0" t="inlineStr">
        <is>
          <t xml:space="preserve">us</t>
        </is>
      </c>
      <c r="D285" s="0" t="inlineStr">
        <is>
          <t xml:space="preserve">company</t>
        </is>
      </c>
      <c r="E285" s="0" t="inlineStr">
        <is>
          <t xml:space="preserve">revenue</t>
        </is>
      </c>
      <c r="F285" s="4">
        <v>1174494</v>
      </c>
      <c r="G285" s="0" t="str">
        <f>"jul26"</f>
        <v>jul26</v>
      </c>
    </row>
    <row r="286">
      <c r="A286" s="0" t="inlineStr">
        <is>
          <t xml:space="preserve">j00285</t>
        </is>
      </c>
      <c r="B286" s="16">
        <v>46215</v>
      </c>
      <c r="C286" s="0" t="inlineStr">
        <is>
          <t xml:space="preserve">us</t>
        </is>
      </c>
      <c r="D286" s="0" t="inlineStr">
        <is>
          <t xml:space="preserve">company</t>
        </is>
      </c>
      <c r="E286" s="0" t="inlineStr">
        <is>
          <t xml:space="preserve">cogs_hosting</t>
        </is>
      </c>
      <c r="F286" s="4">
        <v>-243739</v>
      </c>
      <c r="G286" s="0" t="str">
        <f>"jul26"</f>
        <v>jul26</v>
      </c>
    </row>
    <row r="287">
      <c r="A287" s="0" t="inlineStr">
        <is>
          <t xml:space="preserve">j00286</t>
        </is>
      </c>
      <c r="B287" s="16">
        <v>46231</v>
      </c>
      <c r="C287" s="0" t="inlineStr">
        <is>
          <t xml:space="preserve">us</t>
        </is>
      </c>
      <c r="D287" s="0" t="inlineStr">
        <is>
          <t xml:space="preserve">company</t>
        </is>
      </c>
      <c r="E287" s="0" t="inlineStr">
        <is>
          <t xml:space="preserve">cogs_hosting</t>
        </is>
      </c>
      <c r="F287" s="4">
        <v>-276147</v>
      </c>
      <c r="G287" s="0" t="str">
        <f>"jul26"</f>
        <v>jul26</v>
      </c>
    </row>
    <row r="288">
      <c r="A288" s="0" t="inlineStr">
        <is>
          <t xml:space="preserve">j00287</t>
        </is>
      </c>
      <c r="B288" s="16">
        <v>46215</v>
      </c>
      <c r="C288" s="0" t="inlineStr">
        <is>
          <t xml:space="preserve">us</t>
        </is>
      </c>
      <c r="D288" s="0" t="inlineStr">
        <is>
          <t xml:space="preserve">company</t>
        </is>
      </c>
      <c r="E288" s="0" t="inlineStr">
        <is>
          <t xml:space="preserve">cogs_support</t>
        </is>
      </c>
      <c r="F288" s="4">
        <v>-64349</v>
      </c>
      <c r="G288" s="0" t="str">
        <f>"jul26"</f>
        <v>jul26</v>
      </c>
    </row>
    <row r="289">
      <c r="A289" s="0" t="inlineStr">
        <is>
          <t xml:space="preserve">j00288</t>
        </is>
      </c>
      <c r="B289" s="16">
        <v>46231</v>
      </c>
      <c r="C289" s="0" t="inlineStr">
        <is>
          <t xml:space="preserve">us</t>
        </is>
      </c>
      <c r="D289" s="0" t="inlineStr">
        <is>
          <t xml:space="preserve">company</t>
        </is>
      </c>
      <c r="E289" s="0" t="inlineStr">
        <is>
          <t xml:space="preserve">cogs_support</t>
        </is>
      </c>
      <c r="F289" s="4">
        <v>-166712</v>
      </c>
      <c r="G289" s="0" t="str">
        <f>"jul26"</f>
        <v>jul26</v>
      </c>
    </row>
    <row r="290">
      <c r="A290" s="0" t="inlineStr">
        <is>
          <t xml:space="preserve">j00289</t>
        </is>
      </c>
      <c r="B290" s="16">
        <v>46228</v>
      </c>
      <c r="C290" s="0" t="inlineStr">
        <is>
          <t xml:space="preserve">us</t>
        </is>
      </c>
      <c r="D290" s="0" t="inlineStr">
        <is>
          <t xml:space="preserve">sales</t>
        </is>
      </c>
      <c r="E290" s="0" t="inlineStr">
        <is>
          <t xml:space="preserve">salaries</t>
        </is>
      </c>
      <c r="F290" s="4">
        <v>-360709</v>
      </c>
      <c r="G290" s="0" t="str">
        <f>"jul26"</f>
        <v>jul26</v>
      </c>
    </row>
    <row r="291">
      <c r="A291" s="0" t="inlineStr">
        <is>
          <t xml:space="preserve">j00290</t>
        </is>
      </c>
      <c r="B291" s="16">
        <v>46223</v>
      </c>
      <c r="C291" s="0" t="inlineStr">
        <is>
          <t xml:space="preserve">us</t>
        </is>
      </c>
      <c r="D291" s="0" t="inlineStr">
        <is>
          <t xml:space="preserve">sales</t>
        </is>
      </c>
      <c r="E291" s="0" t="inlineStr">
        <is>
          <t xml:space="preserve">benefits</t>
        </is>
      </c>
      <c r="F291" s="4">
        <v>-68580</v>
      </c>
      <c r="G291" s="0" t="str">
        <f>"jul26"</f>
        <v>jul26</v>
      </c>
    </row>
    <row r="292">
      <c r="A292" s="0" t="inlineStr">
        <is>
          <t xml:space="preserve">j00291</t>
        </is>
      </c>
      <c r="B292" s="16">
        <v>46215</v>
      </c>
      <c r="C292" s="0" t="inlineStr">
        <is>
          <t xml:space="preserve">us</t>
        </is>
      </c>
      <c r="D292" s="0" t="inlineStr">
        <is>
          <t xml:space="preserve">sales</t>
        </is>
      </c>
      <c r="E292" s="0" t="inlineStr">
        <is>
          <t xml:space="preserve">travel</t>
        </is>
      </c>
      <c r="F292" s="4">
        <v>-40348</v>
      </c>
      <c r="G292" s="0" t="str">
        <f>"jul26"</f>
        <v>jul26</v>
      </c>
    </row>
    <row r="293">
      <c r="A293" s="0" t="inlineStr">
        <is>
          <t xml:space="preserve">j00292</t>
        </is>
      </c>
      <c r="B293" s="16">
        <v>46215</v>
      </c>
      <c r="C293" s="0" t="inlineStr">
        <is>
          <t xml:space="preserve">us</t>
        </is>
      </c>
      <c r="D293" s="0" t="inlineStr">
        <is>
          <t xml:space="preserve">sales</t>
        </is>
      </c>
      <c r="E293" s="0" t="inlineStr">
        <is>
          <t xml:space="preserve">software</t>
        </is>
      </c>
      <c r="F293" s="4">
        <v>-8630</v>
      </c>
      <c r="G293" s="0" t="str">
        <f>"jul26"</f>
        <v>jul26</v>
      </c>
    </row>
    <row r="294">
      <c r="A294" s="0" t="inlineStr">
        <is>
          <t xml:space="preserve">j00293</t>
        </is>
      </c>
      <c r="B294" s="16">
        <v>46228</v>
      </c>
      <c r="C294" s="0" t="inlineStr">
        <is>
          <t xml:space="preserve">us</t>
        </is>
      </c>
      <c r="D294" s="0" t="inlineStr">
        <is>
          <t xml:space="preserve">marketing</t>
        </is>
      </c>
      <c r="E294" s="0" t="inlineStr">
        <is>
          <t xml:space="preserve">salaries</t>
        </is>
      </c>
      <c r="F294" s="4">
        <v>-115211</v>
      </c>
      <c r="G294" s="0" t="str">
        <f>"jul26"</f>
        <v>jul26</v>
      </c>
    </row>
    <row r="295">
      <c r="A295" s="0" t="inlineStr">
        <is>
          <t xml:space="preserve">j00294</t>
        </is>
      </c>
      <c r="B295" s="16">
        <v>46208</v>
      </c>
      <c r="C295" s="0" t="inlineStr">
        <is>
          <t xml:space="preserve">us</t>
        </is>
      </c>
      <c r="D295" s="0" t="inlineStr">
        <is>
          <t xml:space="preserve">marketing</t>
        </is>
      </c>
      <c r="E295" s="0" t="inlineStr">
        <is>
          <t xml:space="preserve">benefits</t>
        </is>
      </c>
      <c r="F295" s="4">
        <v>-27433</v>
      </c>
      <c r="G295" s="0" t="str">
        <f>"jul26"</f>
        <v>jul26</v>
      </c>
    </row>
    <row r="296">
      <c r="A296" s="0" t="inlineStr">
        <is>
          <t xml:space="preserve">j00295</t>
        </is>
      </c>
      <c r="B296" s="16">
        <v>46231</v>
      </c>
      <c r="C296" s="0" t="inlineStr">
        <is>
          <t xml:space="preserve">us</t>
        </is>
      </c>
      <c r="D296" s="0" t="inlineStr">
        <is>
          <t xml:space="preserve">marketing</t>
        </is>
      </c>
      <c r="E296" s="0" t="inlineStr">
        <is>
          <t xml:space="preserve">software</t>
        </is>
      </c>
      <c r="F296" s="4">
        <v>-6885</v>
      </c>
      <c r="G296" s="0" t="str">
        <f>"jul26"</f>
        <v>jul26</v>
      </c>
    </row>
    <row r="297">
      <c r="A297" s="0" t="inlineStr">
        <is>
          <t xml:space="preserve">j00296</t>
        </is>
      </c>
      <c r="B297" s="16">
        <v>46215</v>
      </c>
      <c r="C297" s="0" t="inlineStr">
        <is>
          <t xml:space="preserve">us</t>
        </is>
      </c>
      <c r="D297" s="0" t="inlineStr">
        <is>
          <t xml:space="preserve">marketing</t>
        </is>
      </c>
      <c r="E297" s="0" t="inlineStr">
        <is>
          <t xml:space="preserve">software</t>
        </is>
      </c>
      <c r="F297" s="4">
        <v>-2087</v>
      </c>
      <c r="G297" s="0" t="str">
        <f>"jul26"</f>
        <v>jul26</v>
      </c>
    </row>
    <row r="298">
      <c r="A298" s="0" t="inlineStr">
        <is>
          <t xml:space="preserve">j00297</t>
        </is>
      </c>
      <c r="B298" s="16">
        <v>46231</v>
      </c>
      <c r="C298" s="0" t="inlineStr">
        <is>
          <t xml:space="preserve">us</t>
        </is>
      </c>
      <c r="D298" s="0" t="inlineStr">
        <is>
          <t xml:space="preserve">marketing</t>
        </is>
      </c>
      <c r="E298" s="0" t="inlineStr">
        <is>
          <t xml:space="preserve">software</t>
        </is>
      </c>
      <c r="F298" s="4">
        <v>-5626</v>
      </c>
      <c r="G298" s="0" t="str">
        <f>"jul26"</f>
        <v>jul26</v>
      </c>
    </row>
    <row r="299">
      <c r="A299" s="0" t="inlineStr">
        <is>
          <t xml:space="preserve">j00298</t>
        </is>
      </c>
      <c r="B299" s="16">
        <v>46218</v>
      </c>
      <c r="C299" s="0" t="inlineStr">
        <is>
          <t xml:space="preserve">us</t>
        </is>
      </c>
      <c r="D299" s="0" t="inlineStr">
        <is>
          <t xml:space="preserve">marketing</t>
        </is>
      </c>
      <c r="E299" s="0" t="inlineStr">
        <is>
          <t xml:space="preserve">travel</t>
        </is>
      </c>
      <c r="F299" s="4">
        <v>-8246</v>
      </c>
      <c r="G299" s="0" t="str">
        <f>"jul26"</f>
        <v>jul26</v>
      </c>
    </row>
    <row r="300">
      <c r="A300" s="0" t="inlineStr">
        <is>
          <t xml:space="preserve">j00299</t>
        </is>
      </c>
      <c r="B300" s="16">
        <v>46215</v>
      </c>
      <c r="C300" s="0" t="inlineStr">
        <is>
          <t xml:space="preserve">us</t>
        </is>
      </c>
      <c r="D300" s="0" t="inlineStr">
        <is>
          <t xml:space="preserve">marketing</t>
        </is>
      </c>
      <c r="E300" s="0" t="inlineStr">
        <is>
          <t xml:space="preserve">travel</t>
        </is>
      </c>
      <c r="F300" s="4">
        <v>-3662</v>
      </c>
      <c r="G300" s="0" t="str">
        <f>"jul26"</f>
        <v>jul26</v>
      </c>
    </row>
    <row r="301">
      <c r="A301" s="0" t="inlineStr">
        <is>
          <t xml:space="preserve">j00300</t>
        </is>
      </c>
      <c r="B301" s="16">
        <v>46228</v>
      </c>
      <c r="C301" s="0" t="inlineStr">
        <is>
          <t xml:space="preserve">us</t>
        </is>
      </c>
      <c r="D301" s="0" t="inlineStr">
        <is>
          <t xml:space="preserve">engineering</t>
        </is>
      </c>
      <c r="E301" s="0" t="inlineStr">
        <is>
          <t xml:space="preserve">salaries</t>
        </is>
      </c>
      <c r="F301" s="4">
        <v>-707984</v>
      </c>
      <c r="G301" s="0" t="str">
        <f>"jul26"</f>
        <v>jul26</v>
      </c>
    </row>
    <row r="302">
      <c r="A302" s="0" t="inlineStr">
        <is>
          <t xml:space="preserve">j00301</t>
        </is>
      </c>
      <c r="B302" s="16">
        <v>46223</v>
      </c>
      <c r="C302" s="0" t="inlineStr">
        <is>
          <t xml:space="preserve">us</t>
        </is>
      </c>
      <c r="D302" s="0" t="inlineStr">
        <is>
          <t xml:space="preserve">engineering</t>
        </is>
      </c>
      <c r="E302" s="0" t="inlineStr">
        <is>
          <t xml:space="preserve">benefits</t>
        </is>
      </c>
      <c r="F302" s="4">
        <v>-153575</v>
      </c>
      <c r="G302" s="0" t="str">
        <f>"jul26"</f>
        <v>jul26</v>
      </c>
    </row>
    <row r="303">
      <c r="A303" s="0" t="inlineStr">
        <is>
          <t xml:space="preserve">j00302</t>
        </is>
      </c>
      <c r="B303" s="16">
        <v>46231</v>
      </c>
      <c r="C303" s="0" t="inlineStr">
        <is>
          <t xml:space="preserve">us</t>
        </is>
      </c>
      <c r="D303" s="0" t="inlineStr">
        <is>
          <t xml:space="preserve">engineering</t>
        </is>
      </c>
      <c r="E303" s="0" t="inlineStr">
        <is>
          <t xml:space="preserve">contractors</t>
        </is>
      </c>
      <c r="F303" s="4">
        <v>-64804</v>
      </c>
      <c r="G303" s="0" t="str">
        <f>"jul26"</f>
        <v>jul26</v>
      </c>
    </row>
    <row r="304">
      <c r="A304" s="0" t="inlineStr">
        <is>
          <t xml:space="preserve">j00303</t>
        </is>
      </c>
      <c r="B304" s="16">
        <v>46218</v>
      </c>
      <c r="C304" s="0" t="inlineStr">
        <is>
          <t xml:space="preserve">us</t>
        </is>
      </c>
      <c r="D304" s="0" t="inlineStr">
        <is>
          <t xml:space="preserve">engineering</t>
        </is>
      </c>
      <c r="E304" s="0" t="inlineStr">
        <is>
          <t xml:space="preserve">software</t>
        </is>
      </c>
      <c r="F304" s="4">
        <v>-12346</v>
      </c>
      <c r="G304" s="0" t="str">
        <f>"jul26"</f>
        <v>jul26</v>
      </c>
    </row>
    <row r="305">
      <c r="A305" s="0" t="inlineStr">
        <is>
          <t xml:space="preserve">j00304</t>
        </is>
      </c>
      <c r="B305" s="16">
        <v>46215</v>
      </c>
      <c r="C305" s="0" t="inlineStr">
        <is>
          <t xml:space="preserve">us</t>
        </is>
      </c>
      <c r="D305" s="0" t="inlineStr">
        <is>
          <t xml:space="preserve">engineering</t>
        </is>
      </c>
      <c r="E305" s="0" t="inlineStr">
        <is>
          <t xml:space="preserve">software</t>
        </is>
      </c>
      <c r="F305" s="4">
        <v>-9772</v>
      </c>
      <c r="G305" s="0" t="str">
        <f>"jul26"</f>
        <v>jul26</v>
      </c>
    </row>
    <row r="306">
      <c r="A306" s="0" t="inlineStr">
        <is>
          <t xml:space="preserve">j00305</t>
        </is>
      </c>
      <c r="B306" s="16">
        <v>46228</v>
      </c>
      <c r="C306" s="0" t="inlineStr">
        <is>
          <t xml:space="preserve">us</t>
        </is>
      </c>
      <c r="D306" s="0" t="inlineStr">
        <is>
          <t xml:space="preserve">customer_success</t>
        </is>
      </c>
      <c r="E306" s="0" t="inlineStr">
        <is>
          <t xml:space="preserve">salaries</t>
        </is>
      </c>
      <c r="F306" s="4">
        <v>-132654</v>
      </c>
      <c r="G306" s="0" t="str">
        <f>"jul26"</f>
        <v>jul26</v>
      </c>
    </row>
    <row r="307">
      <c r="A307" s="0" t="inlineStr">
        <is>
          <t xml:space="preserve">j00306</t>
        </is>
      </c>
      <c r="B307" s="16">
        <v>46231</v>
      </c>
      <c r="C307" s="0" t="inlineStr">
        <is>
          <t xml:space="preserve">us</t>
        </is>
      </c>
      <c r="D307" s="0" t="inlineStr">
        <is>
          <t xml:space="preserve">customer_success</t>
        </is>
      </c>
      <c r="E307" s="0" t="inlineStr">
        <is>
          <t xml:space="preserve">benefits</t>
        </is>
      </c>
      <c r="F307" s="4">
        <v>-28004</v>
      </c>
      <c r="G307" s="0" t="str">
        <f>"jul26"</f>
        <v>jul26</v>
      </c>
    </row>
    <row r="308">
      <c r="A308" s="0" t="inlineStr">
        <is>
          <t xml:space="preserve">j00307</t>
        </is>
      </c>
      <c r="B308" s="16">
        <v>46215</v>
      </c>
      <c r="C308" s="0" t="inlineStr">
        <is>
          <t xml:space="preserve">us</t>
        </is>
      </c>
      <c r="D308" s="0" t="inlineStr">
        <is>
          <t xml:space="preserve">customer_success</t>
        </is>
      </c>
      <c r="E308" s="0" t="inlineStr">
        <is>
          <t xml:space="preserve">software</t>
        </is>
      </c>
      <c r="F308" s="4">
        <v>-4304</v>
      </c>
      <c r="G308" s="0" t="str">
        <f>"jul26"</f>
        <v>jul26</v>
      </c>
    </row>
    <row r="309">
      <c r="A309" s="0" t="inlineStr">
        <is>
          <t xml:space="preserve">j00308</t>
        </is>
      </c>
      <c r="B309" s="16">
        <v>46218</v>
      </c>
      <c r="C309" s="0" t="inlineStr">
        <is>
          <t xml:space="preserve">us</t>
        </is>
      </c>
      <c r="D309" s="0" t="inlineStr">
        <is>
          <t xml:space="preserve">customer_success</t>
        </is>
      </c>
      <c r="E309" s="0" t="inlineStr">
        <is>
          <t xml:space="preserve">software</t>
        </is>
      </c>
      <c r="F309" s="4">
        <v>-2969</v>
      </c>
      <c r="G309" s="0" t="str">
        <f>"jul26"</f>
        <v>jul26</v>
      </c>
    </row>
    <row r="310">
      <c r="A310" s="0" t="inlineStr">
        <is>
          <t xml:space="preserve">j00309</t>
        </is>
      </c>
      <c r="B310" s="16">
        <v>46223</v>
      </c>
      <c r="C310" s="0" t="inlineStr">
        <is>
          <t xml:space="preserve">us</t>
        </is>
      </c>
      <c r="D310" s="0" t="inlineStr">
        <is>
          <t xml:space="preserve">customer_success</t>
        </is>
      </c>
      <c r="E310" s="0" t="inlineStr">
        <is>
          <t xml:space="preserve">travel</t>
        </is>
      </c>
      <c r="F310" s="4">
        <v>-1311</v>
      </c>
      <c r="G310" s="0" t="str">
        <f>"jul26"</f>
        <v>jul26</v>
      </c>
    </row>
    <row r="311">
      <c r="A311" s="0" t="inlineStr">
        <is>
          <t xml:space="preserve">j00310</t>
        </is>
      </c>
      <c r="B311" s="16">
        <v>46223</v>
      </c>
      <c r="C311" s="0" t="inlineStr">
        <is>
          <t xml:space="preserve">us</t>
        </is>
      </c>
      <c r="D311" s="0" t="inlineStr">
        <is>
          <t xml:space="preserve">customer_success</t>
        </is>
      </c>
      <c r="E311" s="0" t="inlineStr">
        <is>
          <t xml:space="preserve">travel</t>
        </is>
      </c>
      <c r="F311" s="4">
        <v>-2955</v>
      </c>
      <c r="G311" s="0" t="str">
        <f>"jul26"</f>
        <v>jul26</v>
      </c>
    </row>
    <row r="312">
      <c r="A312" s="0" t="inlineStr">
        <is>
          <t xml:space="preserve">j00311</t>
        </is>
      </c>
      <c r="B312" s="16">
        <v>46228</v>
      </c>
      <c r="C312" s="0" t="inlineStr">
        <is>
          <t xml:space="preserve">us</t>
        </is>
      </c>
      <c r="D312" s="0" t="inlineStr">
        <is>
          <t xml:space="preserve">g_and_a</t>
        </is>
      </c>
      <c r="E312" s="0" t="inlineStr">
        <is>
          <t xml:space="preserve">salaries</t>
        </is>
      </c>
      <c r="F312" s="4">
        <v>-145483</v>
      </c>
      <c r="G312" s="0" t="str">
        <f>"jul26"</f>
        <v>jul26</v>
      </c>
    </row>
    <row r="313">
      <c r="A313" s="0" t="inlineStr">
        <is>
          <t xml:space="preserve">j00312</t>
        </is>
      </c>
      <c r="B313" s="16">
        <v>46231</v>
      </c>
      <c r="C313" s="0" t="inlineStr">
        <is>
          <t xml:space="preserve">us</t>
        </is>
      </c>
      <c r="D313" s="0" t="inlineStr">
        <is>
          <t xml:space="preserve">g_and_a</t>
        </is>
      </c>
      <c r="E313" s="0" t="inlineStr">
        <is>
          <t xml:space="preserve">benefits</t>
        </is>
      </c>
      <c r="F313" s="4">
        <v>-27624</v>
      </c>
      <c r="G313" s="0" t="str">
        <f>"jul26"</f>
        <v>jul26</v>
      </c>
    </row>
    <row r="314">
      <c r="A314" s="0" t="inlineStr">
        <is>
          <t xml:space="preserve">j00313</t>
        </is>
      </c>
      <c r="B314" s="16">
        <v>46218</v>
      </c>
      <c r="C314" s="0" t="inlineStr">
        <is>
          <t xml:space="preserve">us</t>
        </is>
      </c>
      <c r="D314" s="0" t="inlineStr">
        <is>
          <t xml:space="preserve">g_and_a</t>
        </is>
      </c>
      <c r="E314" s="0" t="inlineStr">
        <is>
          <t xml:space="preserve">rent</t>
        </is>
      </c>
      <c r="F314" s="4">
        <v>-100959</v>
      </c>
      <c r="G314" s="0" t="str">
        <f>"jul26"</f>
        <v>jul26</v>
      </c>
    </row>
    <row r="315">
      <c r="A315" s="0" t="inlineStr">
        <is>
          <t xml:space="preserve">j00314</t>
        </is>
      </c>
      <c r="B315" s="16">
        <v>46231</v>
      </c>
      <c r="C315" s="0" t="inlineStr">
        <is>
          <t xml:space="preserve">us</t>
        </is>
      </c>
      <c r="D315" s="0" t="inlineStr">
        <is>
          <t xml:space="preserve">g_and_a</t>
        </is>
      </c>
      <c r="E315" s="0" t="inlineStr">
        <is>
          <t xml:space="preserve">professional_fees</t>
        </is>
      </c>
      <c r="F315" s="4">
        <v>-20571</v>
      </c>
      <c r="G315" s="0" t="str">
        <f>"jul26"</f>
        <v>jul26</v>
      </c>
    </row>
    <row r="316">
      <c r="A316" s="0" t="inlineStr">
        <is>
          <t xml:space="preserve">j00315</t>
        </is>
      </c>
      <c r="B316" s="16">
        <v>46231</v>
      </c>
      <c r="C316" s="0" t="inlineStr">
        <is>
          <t xml:space="preserve">us</t>
        </is>
      </c>
      <c r="D316" s="0" t="inlineStr">
        <is>
          <t xml:space="preserve">g_and_a</t>
        </is>
      </c>
      <c r="E316" s="0" t="inlineStr">
        <is>
          <t xml:space="preserve">professional_fees</t>
        </is>
      </c>
      <c r="F316" s="4">
        <v>-14801</v>
      </c>
      <c r="G316" s="0" t="str">
        <f>"jul26"</f>
        <v>jul26</v>
      </c>
    </row>
    <row r="317">
      <c r="A317" s="0" t="inlineStr">
        <is>
          <t xml:space="preserve">j00316</t>
        </is>
      </c>
      <c r="B317" s="16">
        <v>46208</v>
      </c>
      <c r="C317" s="0" t="inlineStr">
        <is>
          <t xml:space="preserve">us</t>
        </is>
      </c>
      <c r="D317" s="0" t="inlineStr">
        <is>
          <t xml:space="preserve">g_and_a</t>
        </is>
      </c>
      <c r="E317" s="0" t="inlineStr">
        <is>
          <t xml:space="preserve">software</t>
        </is>
      </c>
      <c r="F317" s="4">
        <v>-5051</v>
      </c>
      <c r="G317" s="0" t="str">
        <f>"jul26"</f>
        <v>jul26</v>
      </c>
    </row>
    <row r="318">
      <c r="A318" s="0" t="inlineStr">
        <is>
          <t xml:space="preserve">j00317</t>
        </is>
      </c>
      <c r="B318" s="16">
        <v>46218</v>
      </c>
      <c r="C318" s="0" t="inlineStr">
        <is>
          <t xml:space="preserve">us</t>
        </is>
      </c>
      <c r="D318" s="0" t="inlineStr">
        <is>
          <t xml:space="preserve">g_and_a</t>
        </is>
      </c>
      <c r="E318" s="0" t="inlineStr">
        <is>
          <t xml:space="preserve">software</t>
        </is>
      </c>
      <c r="F318" s="4">
        <v>-6918</v>
      </c>
      <c r="G318" s="0" t="str">
        <f>"jul26"</f>
        <v>jul26</v>
      </c>
    </row>
    <row r="319">
      <c r="A319" s="0" t="inlineStr">
        <is>
          <t xml:space="preserve">j00318</t>
        </is>
      </c>
      <c r="B319" s="16">
        <v>46215</v>
      </c>
      <c r="C319" s="0" t="inlineStr">
        <is>
          <t xml:space="preserve">us</t>
        </is>
      </c>
      <c r="D319" s="0" t="inlineStr">
        <is>
          <t xml:space="preserve">g_and_a</t>
        </is>
      </c>
      <c r="E319" s="0" t="inlineStr">
        <is>
          <t xml:space="preserve">travel</t>
        </is>
      </c>
      <c r="F319" s="4">
        <v>-2580</v>
      </c>
      <c r="G319" s="0" t="str">
        <f>"jul26"</f>
        <v>jul26</v>
      </c>
    </row>
    <row r="320">
      <c r="A320" s="0" t="inlineStr">
        <is>
          <t xml:space="preserve">j00319</t>
        </is>
      </c>
      <c r="B320" s="16">
        <v>46231</v>
      </c>
      <c r="C320" s="0" t="inlineStr">
        <is>
          <t xml:space="preserve">us</t>
        </is>
      </c>
      <c r="D320" s="0" t="inlineStr">
        <is>
          <t xml:space="preserve">g_and_a</t>
        </is>
      </c>
      <c r="E320" s="0" t="inlineStr">
        <is>
          <t xml:space="preserve">travel</t>
        </is>
      </c>
      <c r="F320" s="4">
        <v>-1574</v>
      </c>
      <c r="G320" s="0" t="str">
        <f>"jul26"</f>
        <v>jul26</v>
      </c>
    </row>
    <row r="321">
      <c r="A321" s="0" t="inlineStr">
        <is>
          <t xml:space="preserve">j00320</t>
        </is>
      </c>
      <c r="B321" s="16">
        <v>46231</v>
      </c>
      <c r="C321" s="0" t="inlineStr">
        <is>
          <t xml:space="preserve">us</t>
        </is>
      </c>
      <c r="D321" s="0" t="inlineStr">
        <is>
          <t xml:space="preserve">g_and_a</t>
        </is>
      </c>
      <c r="E321" s="0" t="inlineStr">
        <is>
          <t xml:space="preserve">travel</t>
        </is>
      </c>
      <c r="F321" s="4">
        <v>-2237</v>
      </c>
      <c r="G321" s="0" t="str">
        <f>"jul26"</f>
        <v>jul26</v>
      </c>
    </row>
    <row r="322">
      <c r="A322" s="0" t="inlineStr">
        <is>
          <t xml:space="preserve">j00321</t>
        </is>
      </c>
      <c r="B322" s="16">
        <v>46218</v>
      </c>
      <c r="C322" s="0" t="inlineStr">
        <is>
          <t xml:space="preserve">us</t>
        </is>
      </c>
      <c r="D322" s="0" t="inlineStr">
        <is>
          <t xml:space="preserve">sales</t>
        </is>
      </c>
      <c r="E322" s="0" t="inlineStr">
        <is>
          <t xml:space="preserve">commissions</t>
        </is>
      </c>
      <c r="F322" s="4">
        <v>-49679</v>
      </c>
      <c r="G322" s="0" t="str">
        <f>"jul26"</f>
        <v>jul26</v>
      </c>
    </row>
    <row r="323">
      <c r="A323" s="0" t="inlineStr">
        <is>
          <t xml:space="preserve">j00322</t>
        </is>
      </c>
      <c r="B323" s="16">
        <v>46215</v>
      </c>
      <c r="C323" s="0" t="inlineStr">
        <is>
          <t xml:space="preserve">us</t>
        </is>
      </c>
      <c r="D323" s="0" t="inlineStr">
        <is>
          <t xml:space="preserve">sales</t>
        </is>
      </c>
      <c r="E323" s="0" t="inlineStr">
        <is>
          <t xml:space="preserve">commissions</t>
        </is>
      </c>
      <c r="F323" s="4">
        <v>-51367</v>
      </c>
      <c r="G323" s="0" t="str">
        <f>"jul26"</f>
        <v>jul26</v>
      </c>
    </row>
    <row r="324">
      <c r="A324" s="0" t="inlineStr">
        <is>
          <t xml:space="preserve">j00323</t>
        </is>
      </c>
      <c r="B324" s="16">
        <v>46223</v>
      </c>
      <c r="C324" s="0" t="inlineStr">
        <is>
          <t xml:space="preserve">us</t>
        </is>
      </c>
      <c r="D324" s="0" t="inlineStr">
        <is>
          <t xml:space="preserve">sales</t>
        </is>
      </c>
      <c r="E324" s="0" t="inlineStr">
        <is>
          <t xml:space="preserve">commissions</t>
        </is>
      </c>
      <c r="F324" s="4">
        <v>-109786</v>
      </c>
      <c r="G324" s="0" t="str">
        <f>"jul26"</f>
        <v>jul26</v>
      </c>
    </row>
    <row r="325">
      <c r="A325" s="0" t="inlineStr">
        <is>
          <t xml:space="preserve">j00324</t>
        </is>
      </c>
      <c r="B325" s="16">
        <v>46208</v>
      </c>
      <c r="C325" s="0" t="inlineStr">
        <is>
          <t xml:space="preserve">us</t>
        </is>
      </c>
      <c r="D325" s="0" t="inlineStr">
        <is>
          <t xml:space="preserve">marketing</t>
        </is>
      </c>
      <c r="E325" s="0" t="inlineStr">
        <is>
          <t xml:space="preserve">marketing_programs</t>
        </is>
      </c>
      <c r="F325" s="4">
        <v>-246825</v>
      </c>
      <c r="G325" s="0" t="str">
        <f>"jul26"</f>
        <v>jul26</v>
      </c>
    </row>
    <row r="326">
      <c r="A326" s="0" t="inlineStr">
        <is>
          <t xml:space="preserve">j00325</t>
        </is>
      </c>
      <c r="B326" s="16">
        <v>46223</v>
      </c>
      <c r="C326" s="0" t="inlineStr">
        <is>
          <t xml:space="preserve">us</t>
        </is>
      </c>
      <c r="D326" s="0" t="inlineStr">
        <is>
          <t xml:space="preserve">marketing</t>
        </is>
      </c>
      <c r="E326" s="0" t="inlineStr">
        <is>
          <t xml:space="preserve">marketing_programs</t>
        </is>
      </c>
      <c r="F326" s="4">
        <v>-134670</v>
      </c>
      <c r="G326" s="0" t="str">
        <f>"jul26"</f>
        <v>jul26</v>
      </c>
    </row>
    <row r="327">
      <c r="A327" s="0" t="inlineStr">
        <is>
          <t xml:space="preserve">j00326</t>
        </is>
      </c>
      <c r="B327" s="16">
        <v>46218</v>
      </c>
      <c r="C327" s="0" t="inlineStr">
        <is>
          <t xml:space="preserve">us</t>
        </is>
      </c>
      <c r="D327" s="0" t="inlineStr">
        <is>
          <t xml:space="preserve">engineering</t>
        </is>
      </c>
      <c r="E327" s="0" t="inlineStr">
        <is>
          <t xml:space="preserve">cloud</t>
        </is>
      </c>
      <c r="F327" s="4">
        <v>-403736</v>
      </c>
      <c r="G327" s="0" t="str">
        <f>"jul26"</f>
        <v>jul26</v>
      </c>
    </row>
    <row r="328">
      <c r="A328" s="0" t="inlineStr">
        <is>
          <t xml:space="preserve">j00327</t>
        </is>
      </c>
      <c r="B328" s="16">
        <v>46249</v>
      </c>
      <c r="C328" s="0" t="inlineStr">
        <is>
          <t xml:space="preserve">us</t>
        </is>
      </c>
      <c r="D328" s="0" t="inlineStr">
        <is>
          <t xml:space="preserve">company</t>
        </is>
      </c>
      <c r="E328" s="0" t="inlineStr">
        <is>
          <t xml:space="preserve">revenue</t>
        </is>
      </c>
      <c r="F328" s="4">
        <v>2081424</v>
      </c>
      <c r="G328" s="0" t="str">
        <f>"aug26"</f>
        <v>aug26</v>
      </c>
    </row>
    <row r="329">
      <c r="A329" s="0" t="inlineStr">
        <is>
          <t xml:space="preserve">j00328</t>
        </is>
      </c>
      <c r="B329" s="16">
        <v>46249</v>
      </c>
      <c r="C329" s="0" t="inlineStr">
        <is>
          <t xml:space="preserve">us</t>
        </is>
      </c>
      <c r="D329" s="0" t="inlineStr">
        <is>
          <t xml:space="preserve">company</t>
        </is>
      </c>
      <c r="E329" s="0" t="inlineStr">
        <is>
          <t xml:space="preserve">revenue</t>
        </is>
      </c>
      <c r="F329" s="4">
        <v>1226965</v>
      </c>
      <c r="G329" s="0" t="str">
        <f>"aug26"</f>
        <v>aug26</v>
      </c>
    </row>
    <row r="330">
      <c r="A330" s="0" t="inlineStr">
        <is>
          <t xml:space="preserve">j00329</t>
        </is>
      </c>
      <c r="B330" s="16">
        <v>46254</v>
      </c>
      <c r="C330" s="0" t="inlineStr">
        <is>
          <t xml:space="preserve">us</t>
        </is>
      </c>
      <c r="D330" s="0" t="inlineStr">
        <is>
          <t xml:space="preserve">company</t>
        </is>
      </c>
      <c r="E330" s="0" t="inlineStr">
        <is>
          <t xml:space="preserve">revenue</t>
        </is>
      </c>
      <c r="F330" s="4">
        <v>1235648</v>
      </c>
      <c r="G330" s="0" t="str">
        <f>"aug26"</f>
        <v>aug26</v>
      </c>
    </row>
    <row r="331">
      <c r="A331" s="0" t="inlineStr">
        <is>
          <t xml:space="preserve">j00330</t>
        </is>
      </c>
      <c r="B331" s="16">
        <v>46239</v>
      </c>
      <c r="C331" s="0" t="inlineStr">
        <is>
          <t xml:space="preserve">us</t>
        </is>
      </c>
      <c r="D331" s="0" t="inlineStr">
        <is>
          <t xml:space="preserve">company</t>
        </is>
      </c>
      <c r="E331" s="0" t="inlineStr">
        <is>
          <t xml:space="preserve">cogs_hosting</t>
        </is>
      </c>
      <c r="F331" s="4">
        <v>-137720</v>
      </c>
      <c r="G331" s="0" t="str">
        <f>"aug26"</f>
        <v>aug26</v>
      </c>
    </row>
    <row r="332">
      <c r="A332" s="0" t="inlineStr">
        <is>
          <t xml:space="preserve">j00331</t>
        </is>
      </c>
      <c r="B332" s="16">
        <v>46262</v>
      </c>
      <c r="C332" s="0" t="inlineStr">
        <is>
          <t xml:space="preserve">us</t>
        </is>
      </c>
      <c r="D332" s="0" t="inlineStr">
        <is>
          <t xml:space="preserve">company</t>
        </is>
      </c>
      <c r="E332" s="0" t="inlineStr">
        <is>
          <t xml:space="preserve">cogs_hosting</t>
        </is>
      </c>
      <c r="F332" s="4">
        <v>-207610</v>
      </c>
      <c r="G332" s="0" t="str">
        <f>"aug26"</f>
        <v>aug26</v>
      </c>
    </row>
    <row r="333">
      <c r="A333" s="0" t="inlineStr">
        <is>
          <t xml:space="preserve">j00332</t>
        </is>
      </c>
      <c r="B333" s="16">
        <v>46262</v>
      </c>
      <c r="C333" s="0" t="inlineStr">
        <is>
          <t xml:space="preserve">us</t>
        </is>
      </c>
      <c r="D333" s="0" t="inlineStr">
        <is>
          <t xml:space="preserve">company</t>
        </is>
      </c>
      <c r="E333" s="0" t="inlineStr">
        <is>
          <t xml:space="preserve">cogs_hosting</t>
        </is>
      </c>
      <c r="F333" s="4">
        <v>-200105</v>
      </c>
      <c r="G333" s="0" t="str">
        <f>"aug26"</f>
        <v>aug26</v>
      </c>
    </row>
    <row r="334">
      <c r="A334" s="0" t="inlineStr">
        <is>
          <t xml:space="preserve">j00333</t>
        </is>
      </c>
      <c r="B334" s="16">
        <v>46254</v>
      </c>
      <c r="C334" s="0" t="inlineStr">
        <is>
          <t xml:space="preserve">us</t>
        </is>
      </c>
      <c r="D334" s="0" t="inlineStr">
        <is>
          <t xml:space="preserve">company</t>
        </is>
      </c>
      <c r="E334" s="0" t="inlineStr">
        <is>
          <t xml:space="preserve">cogs_support</t>
        </is>
      </c>
      <c r="F334" s="4">
        <v>-118386</v>
      </c>
      <c r="G334" s="0" t="str">
        <f>"aug26"</f>
        <v>aug26</v>
      </c>
    </row>
    <row r="335">
      <c r="A335" s="0" t="inlineStr">
        <is>
          <t xml:space="preserve">j00334</t>
        </is>
      </c>
      <c r="B335" s="16">
        <v>46246</v>
      </c>
      <c r="C335" s="0" t="inlineStr">
        <is>
          <t xml:space="preserve">us</t>
        </is>
      </c>
      <c r="D335" s="0" t="inlineStr">
        <is>
          <t xml:space="preserve">company</t>
        </is>
      </c>
      <c r="E335" s="0" t="inlineStr">
        <is>
          <t xml:space="preserve">cogs_support</t>
        </is>
      </c>
      <c r="F335" s="4">
        <v>-123925</v>
      </c>
      <c r="G335" s="0" t="str">
        <f>"aug26"</f>
        <v>aug26</v>
      </c>
    </row>
    <row r="336">
      <c r="A336" s="0" t="inlineStr">
        <is>
          <t xml:space="preserve">j00335</t>
        </is>
      </c>
      <c r="B336" s="16">
        <v>46259</v>
      </c>
      <c r="C336" s="0" t="inlineStr">
        <is>
          <t xml:space="preserve">us</t>
        </is>
      </c>
      <c r="D336" s="0" t="inlineStr">
        <is>
          <t xml:space="preserve">sales</t>
        </is>
      </c>
      <c r="E336" s="0" t="inlineStr">
        <is>
          <t xml:space="preserve">salaries</t>
        </is>
      </c>
      <c r="F336" s="4">
        <v>-359877</v>
      </c>
      <c r="G336" s="0" t="str">
        <f>"aug26"</f>
        <v>aug26</v>
      </c>
    </row>
    <row r="337">
      <c r="A337" s="0" t="inlineStr">
        <is>
          <t xml:space="preserve">j00336</t>
        </is>
      </c>
      <c r="B337" s="16">
        <v>46254</v>
      </c>
      <c r="C337" s="0" t="inlineStr">
        <is>
          <t xml:space="preserve">us</t>
        </is>
      </c>
      <c r="D337" s="0" t="inlineStr">
        <is>
          <t xml:space="preserve">sales</t>
        </is>
      </c>
      <c r="E337" s="0" t="inlineStr">
        <is>
          <t xml:space="preserve">benefits</t>
        </is>
      </c>
      <c r="F337" s="4">
        <v>-75337</v>
      </c>
      <c r="G337" s="0" t="str">
        <f>"aug26"</f>
        <v>aug26</v>
      </c>
    </row>
    <row r="338">
      <c r="A338" s="0" t="inlineStr">
        <is>
          <t xml:space="preserve">j00337</t>
        </is>
      </c>
      <c r="B338" s="16">
        <v>46254</v>
      </c>
      <c r="C338" s="0" t="inlineStr">
        <is>
          <t xml:space="preserve">us</t>
        </is>
      </c>
      <c r="D338" s="0" t="inlineStr">
        <is>
          <t xml:space="preserve">sales</t>
        </is>
      </c>
      <c r="E338" s="0" t="inlineStr">
        <is>
          <t xml:space="preserve">travel</t>
        </is>
      </c>
      <c r="F338" s="4">
        <v>-18857</v>
      </c>
      <c r="G338" s="0" t="str">
        <f>"aug26"</f>
        <v>aug26</v>
      </c>
    </row>
    <row r="339">
      <c r="A339" s="0" t="inlineStr">
        <is>
          <t xml:space="preserve">j00338</t>
        </is>
      </c>
      <c r="B339" s="16">
        <v>46246</v>
      </c>
      <c r="C339" s="0" t="inlineStr">
        <is>
          <t xml:space="preserve">us</t>
        </is>
      </c>
      <c r="D339" s="0" t="inlineStr">
        <is>
          <t xml:space="preserve">sales</t>
        </is>
      </c>
      <c r="E339" s="0" t="inlineStr">
        <is>
          <t xml:space="preserve">travel</t>
        </is>
      </c>
      <c r="F339" s="4">
        <v>-19756</v>
      </c>
      <c r="G339" s="0" t="str">
        <f>"aug26"</f>
        <v>aug26</v>
      </c>
    </row>
    <row r="340">
      <c r="A340" s="0" t="inlineStr">
        <is>
          <t xml:space="preserve">j00339</t>
        </is>
      </c>
      <c r="B340" s="16">
        <v>46246</v>
      </c>
      <c r="C340" s="0" t="inlineStr">
        <is>
          <t xml:space="preserve">us</t>
        </is>
      </c>
      <c r="D340" s="0" t="inlineStr">
        <is>
          <t xml:space="preserve">sales</t>
        </is>
      </c>
      <c r="E340" s="0" t="inlineStr">
        <is>
          <t xml:space="preserve">software</t>
        </is>
      </c>
      <c r="F340" s="4">
        <v>-3155</v>
      </c>
      <c r="G340" s="0" t="str">
        <f>"aug26"</f>
        <v>aug26</v>
      </c>
    </row>
    <row r="341">
      <c r="A341" s="0" t="inlineStr">
        <is>
          <t xml:space="preserve">j00340</t>
        </is>
      </c>
      <c r="B341" s="16">
        <v>46246</v>
      </c>
      <c r="C341" s="0" t="inlineStr">
        <is>
          <t xml:space="preserve">us</t>
        </is>
      </c>
      <c r="D341" s="0" t="inlineStr">
        <is>
          <t xml:space="preserve">sales</t>
        </is>
      </c>
      <c r="E341" s="0" t="inlineStr">
        <is>
          <t xml:space="preserve">software</t>
        </is>
      </c>
      <c r="F341" s="4">
        <v>-2057</v>
      </c>
      <c r="G341" s="0" t="str">
        <f>"aug26"</f>
        <v>aug26</v>
      </c>
    </row>
    <row r="342">
      <c r="A342" s="0" t="inlineStr">
        <is>
          <t xml:space="preserve">j00341</t>
        </is>
      </c>
      <c r="B342" s="16">
        <v>46262</v>
      </c>
      <c r="C342" s="0" t="inlineStr">
        <is>
          <t xml:space="preserve">us</t>
        </is>
      </c>
      <c r="D342" s="0" t="inlineStr">
        <is>
          <t xml:space="preserve">sales</t>
        </is>
      </c>
      <c r="E342" s="0" t="inlineStr">
        <is>
          <t xml:space="preserve">software</t>
        </is>
      </c>
      <c r="F342" s="4">
        <v>-3881</v>
      </c>
      <c r="G342" s="0" t="str">
        <f>"aug26"</f>
        <v>aug26</v>
      </c>
    </row>
    <row r="343">
      <c r="A343" s="0" t="inlineStr">
        <is>
          <t xml:space="preserve">j00342</t>
        </is>
      </c>
      <c r="B343" s="16">
        <v>46259</v>
      </c>
      <c r="C343" s="0" t="inlineStr">
        <is>
          <t xml:space="preserve">us</t>
        </is>
      </c>
      <c r="D343" s="0" t="inlineStr">
        <is>
          <t xml:space="preserve">marketing</t>
        </is>
      </c>
      <c r="E343" s="0" t="inlineStr">
        <is>
          <t xml:space="preserve">salaries</t>
        </is>
      </c>
      <c r="F343" s="4">
        <v>-124744</v>
      </c>
      <c r="G343" s="0" t="str">
        <f>"aug26"</f>
        <v>aug26</v>
      </c>
    </row>
    <row r="344">
      <c r="A344" s="0" t="inlineStr">
        <is>
          <t xml:space="preserve">j00343</t>
        </is>
      </c>
      <c r="B344" s="16">
        <v>46254</v>
      </c>
      <c r="C344" s="0" t="inlineStr">
        <is>
          <t xml:space="preserve">us</t>
        </is>
      </c>
      <c r="D344" s="0" t="inlineStr">
        <is>
          <t xml:space="preserve">marketing</t>
        </is>
      </c>
      <c r="E344" s="0" t="inlineStr">
        <is>
          <t xml:space="preserve">benefits</t>
        </is>
      </c>
      <c r="F344" s="4">
        <v>-27222</v>
      </c>
      <c r="G344" s="0" t="str">
        <f>"aug26"</f>
        <v>aug26</v>
      </c>
    </row>
    <row r="345">
      <c r="A345" s="0" t="inlineStr">
        <is>
          <t xml:space="preserve">j00344</t>
        </is>
      </c>
      <c r="B345" s="16">
        <v>46254</v>
      </c>
      <c r="C345" s="0" t="inlineStr">
        <is>
          <t xml:space="preserve">us</t>
        </is>
      </c>
      <c r="D345" s="0" t="inlineStr">
        <is>
          <t xml:space="preserve">marketing</t>
        </is>
      </c>
      <c r="E345" s="0" t="inlineStr">
        <is>
          <t xml:space="preserve">software</t>
        </is>
      </c>
      <c r="F345" s="4">
        <v>-6978</v>
      </c>
      <c r="G345" s="0" t="str">
        <f>"aug26"</f>
        <v>aug26</v>
      </c>
    </row>
    <row r="346">
      <c r="A346" s="0" t="inlineStr">
        <is>
          <t xml:space="preserve">j00345</t>
        </is>
      </c>
      <c r="B346" s="16">
        <v>46239</v>
      </c>
      <c r="C346" s="0" t="inlineStr">
        <is>
          <t xml:space="preserve">us</t>
        </is>
      </c>
      <c r="D346" s="0" t="inlineStr">
        <is>
          <t xml:space="preserve">marketing</t>
        </is>
      </c>
      <c r="E346" s="0" t="inlineStr">
        <is>
          <t xml:space="preserve">software</t>
        </is>
      </c>
      <c r="F346" s="4">
        <v>-6325</v>
      </c>
      <c r="G346" s="0" t="str">
        <f>"aug26"</f>
        <v>aug26</v>
      </c>
    </row>
    <row r="347">
      <c r="A347" s="0" t="inlineStr">
        <is>
          <t xml:space="preserve">j00346</t>
        </is>
      </c>
      <c r="B347" s="16">
        <v>46246</v>
      </c>
      <c r="C347" s="0" t="inlineStr">
        <is>
          <t xml:space="preserve">us</t>
        </is>
      </c>
      <c r="D347" s="0" t="inlineStr">
        <is>
          <t xml:space="preserve">marketing</t>
        </is>
      </c>
      <c r="E347" s="0" t="inlineStr">
        <is>
          <t xml:space="preserve">travel</t>
        </is>
      </c>
      <c r="F347" s="4">
        <v>-5070</v>
      </c>
      <c r="G347" s="0" t="str">
        <f>"aug26"</f>
        <v>aug26</v>
      </c>
    </row>
    <row r="348">
      <c r="A348" s="0" t="inlineStr">
        <is>
          <t xml:space="preserve">j00347</t>
        </is>
      </c>
      <c r="B348" s="16">
        <v>46262</v>
      </c>
      <c r="C348" s="0" t="inlineStr">
        <is>
          <t xml:space="preserve">us</t>
        </is>
      </c>
      <c r="D348" s="0" t="inlineStr">
        <is>
          <t xml:space="preserve">marketing</t>
        </is>
      </c>
      <c r="E348" s="0" t="inlineStr">
        <is>
          <t xml:space="preserve">travel</t>
        </is>
      </c>
      <c r="F348" s="4">
        <v>-6686</v>
      </c>
      <c r="G348" s="0" t="str">
        <f>"aug26"</f>
        <v>aug26</v>
      </c>
    </row>
    <row r="349">
      <c r="A349" s="0" t="inlineStr">
        <is>
          <t xml:space="preserve">j00348</t>
        </is>
      </c>
      <c r="B349" s="16">
        <v>46259</v>
      </c>
      <c r="C349" s="0" t="inlineStr">
        <is>
          <t xml:space="preserve">us</t>
        </is>
      </c>
      <c r="D349" s="0" t="inlineStr">
        <is>
          <t xml:space="preserve">engineering</t>
        </is>
      </c>
      <c r="E349" s="0" t="inlineStr">
        <is>
          <t xml:space="preserve">salaries</t>
        </is>
      </c>
      <c r="F349" s="4">
        <v>-720855</v>
      </c>
      <c r="G349" s="0" t="str">
        <f>"aug26"</f>
        <v>aug26</v>
      </c>
    </row>
    <row r="350">
      <c r="A350" s="0" t="inlineStr">
        <is>
          <t xml:space="preserve">j00349</t>
        </is>
      </c>
      <c r="B350" s="16">
        <v>46262</v>
      </c>
      <c r="C350" s="0" t="inlineStr">
        <is>
          <t xml:space="preserve">us</t>
        </is>
      </c>
      <c r="D350" s="0" t="inlineStr">
        <is>
          <t xml:space="preserve">engineering</t>
        </is>
      </c>
      <c r="E350" s="0" t="inlineStr">
        <is>
          <t xml:space="preserve">benefits</t>
        </is>
      </c>
      <c r="F350" s="4">
        <v>-172110</v>
      </c>
      <c r="G350" s="0" t="str">
        <f>"aug26"</f>
        <v>aug26</v>
      </c>
    </row>
    <row r="351">
      <c r="A351" s="0" t="inlineStr">
        <is>
          <t xml:space="preserve">j00350</t>
        </is>
      </c>
      <c r="B351" s="16">
        <v>46254</v>
      </c>
      <c r="C351" s="0" t="inlineStr">
        <is>
          <t xml:space="preserve">us</t>
        </is>
      </c>
      <c r="D351" s="0" t="inlineStr">
        <is>
          <t xml:space="preserve">engineering</t>
        </is>
      </c>
      <c r="E351" s="0" t="inlineStr">
        <is>
          <t xml:space="preserve">contractors</t>
        </is>
      </c>
      <c r="F351" s="4">
        <v>-40264</v>
      </c>
      <c r="G351" s="0" t="str">
        <f>"aug26"</f>
        <v>aug26</v>
      </c>
    </row>
    <row r="352">
      <c r="A352" s="0" t="inlineStr">
        <is>
          <t xml:space="preserve">j00351</t>
        </is>
      </c>
      <c r="B352" s="16">
        <v>46262</v>
      </c>
      <c r="C352" s="0" t="inlineStr">
        <is>
          <t xml:space="preserve">us</t>
        </is>
      </c>
      <c r="D352" s="0" t="inlineStr">
        <is>
          <t xml:space="preserve">engineering</t>
        </is>
      </c>
      <c r="E352" s="0" t="inlineStr">
        <is>
          <t xml:space="preserve">contractors</t>
        </is>
      </c>
      <c r="F352" s="4">
        <v>-23152</v>
      </c>
      <c r="G352" s="0" t="str">
        <f>"aug26"</f>
        <v>aug26</v>
      </c>
    </row>
    <row r="353">
      <c r="A353" s="0" t="inlineStr">
        <is>
          <t xml:space="preserve">j00352</t>
        </is>
      </c>
      <c r="B353" s="16">
        <v>46246</v>
      </c>
      <c r="C353" s="0" t="inlineStr">
        <is>
          <t xml:space="preserve">us</t>
        </is>
      </c>
      <c r="D353" s="0" t="inlineStr">
        <is>
          <t xml:space="preserve">engineering</t>
        </is>
      </c>
      <c r="E353" s="0" t="inlineStr">
        <is>
          <t xml:space="preserve">software</t>
        </is>
      </c>
      <c r="F353" s="4">
        <v>-5974</v>
      </c>
      <c r="G353" s="0" t="str">
        <f>"aug26"</f>
        <v>aug26</v>
      </c>
    </row>
    <row r="354">
      <c r="A354" s="0" t="inlineStr">
        <is>
          <t xml:space="preserve">j00353</t>
        </is>
      </c>
      <c r="B354" s="16">
        <v>46262</v>
      </c>
      <c r="C354" s="0" t="inlineStr">
        <is>
          <t xml:space="preserve">us</t>
        </is>
      </c>
      <c r="D354" s="0" t="inlineStr">
        <is>
          <t xml:space="preserve">engineering</t>
        </is>
      </c>
      <c r="E354" s="0" t="inlineStr">
        <is>
          <t xml:space="preserve">software</t>
        </is>
      </c>
      <c r="F354" s="4">
        <v>-10362</v>
      </c>
      <c r="G354" s="0" t="str">
        <f>"aug26"</f>
        <v>aug26</v>
      </c>
    </row>
    <row r="355">
      <c r="A355" s="0" t="inlineStr">
        <is>
          <t xml:space="preserve">j00354</t>
        </is>
      </c>
      <c r="B355" s="16">
        <v>46262</v>
      </c>
      <c r="C355" s="0" t="inlineStr">
        <is>
          <t xml:space="preserve">us</t>
        </is>
      </c>
      <c r="D355" s="0" t="inlineStr">
        <is>
          <t xml:space="preserve">engineering</t>
        </is>
      </c>
      <c r="E355" s="0" t="inlineStr">
        <is>
          <t xml:space="preserve">software</t>
        </is>
      </c>
      <c r="F355" s="4">
        <v>-5773</v>
      </c>
      <c r="G355" s="0" t="str">
        <f>"aug26"</f>
        <v>aug26</v>
      </c>
    </row>
    <row r="356">
      <c r="A356" s="0" t="inlineStr">
        <is>
          <t xml:space="preserve">j00355</t>
        </is>
      </c>
      <c r="B356" s="16">
        <v>46259</v>
      </c>
      <c r="C356" s="0" t="inlineStr">
        <is>
          <t xml:space="preserve">us</t>
        </is>
      </c>
      <c r="D356" s="0" t="inlineStr">
        <is>
          <t xml:space="preserve">customer_success</t>
        </is>
      </c>
      <c r="E356" s="0" t="inlineStr">
        <is>
          <t xml:space="preserve">salaries</t>
        </is>
      </c>
      <c r="F356" s="4">
        <v>-144753</v>
      </c>
      <c r="G356" s="0" t="str">
        <f>"aug26"</f>
        <v>aug26</v>
      </c>
    </row>
    <row r="357">
      <c r="A357" s="0" t="inlineStr">
        <is>
          <t xml:space="preserve">j00356</t>
        </is>
      </c>
      <c r="B357" s="16">
        <v>46246</v>
      </c>
      <c r="C357" s="0" t="inlineStr">
        <is>
          <t xml:space="preserve">us</t>
        </is>
      </c>
      <c r="D357" s="0" t="inlineStr">
        <is>
          <t xml:space="preserve">customer_success</t>
        </is>
      </c>
      <c r="E357" s="0" t="inlineStr">
        <is>
          <t xml:space="preserve">benefits</t>
        </is>
      </c>
      <c r="F357" s="4">
        <v>-31417</v>
      </c>
      <c r="G357" s="0" t="str">
        <f>"aug26"</f>
        <v>aug26</v>
      </c>
    </row>
    <row r="358">
      <c r="A358" s="0" t="inlineStr">
        <is>
          <t xml:space="preserve">j00357</t>
        </is>
      </c>
      <c r="B358" s="16">
        <v>46254</v>
      </c>
      <c r="C358" s="0" t="inlineStr">
        <is>
          <t xml:space="preserve">us</t>
        </is>
      </c>
      <c r="D358" s="0" t="inlineStr">
        <is>
          <t xml:space="preserve">customer_success</t>
        </is>
      </c>
      <c r="E358" s="0" t="inlineStr">
        <is>
          <t xml:space="preserve">software</t>
        </is>
      </c>
      <c r="F358" s="4">
        <v>-2307</v>
      </c>
      <c r="G358" s="0" t="str">
        <f>"aug26"</f>
        <v>aug26</v>
      </c>
    </row>
    <row r="359">
      <c r="A359" s="0" t="inlineStr">
        <is>
          <t xml:space="preserve">j00358</t>
        </is>
      </c>
      <c r="B359" s="16">
        <v>46246</v>
      </c>
      <c r="C359" s="0" t="inlineStr">
        <is>
          <t xml:space="preserve">us</t>
        </is>
      </c>
      <c r="D359" s="0" t="inlineStr">
        <is>
          <t xml:space="preserve">customer_success</t>
        </is>
      </c>
      <c r="E359" s="0" t="inlineStr">
        <is>
          <t xml:space="preserve">software</t>
        </is>
      </c>
      <c r="F359" s="4">
        <v>-4460</v>
      </c>
      <c r="G359" s="0" t="str">
        <f>"aug26"</f>
        <v>aug26</v>
      </c>
    </row>
    <row r="360">
      <c r="A360" s="0" t="inlineStr">
        <is>
          <t xml:space="preserve">j00359</t>
        </is>
      </c>
      <c r="B360" s="16">
        <v>46239</v>
      </c>
      <c r="C360" s="0" t="inlineStr">
        <is>
          <t xml:space="preserve">us</t>
        </is>
      </c>
      <c r="D360" s="0" t="inlineStr">
        <is>
          <t xml:space="preserve">customer_success</t>
        </is>
      </c>
      <c r="E360" s="0" t="inlineStr">
        <is>
          <t xml:space="preserve">travel</t>
        </is>
      </c>
      <c r="F360" s="4">
        <v>-4049</v>
      </c>
      <c r="G360" s="0" t="str">
        <f>"aug26"</f>
        <v>aug26</v>
      </c>
    </row>
    <row r="361">
      <c r="A361" s="0" t="inlineStr">
        <is>
          <t xml:space="preserve">j00360</t>
        </is>
      </c>
      <c r="B361" s="16">
        <v>46259</v>
      </c>
      <c r="C361" s="0" t="inlineStr">
        <is>
          <t xml:space="preserve">us</t>
        </is>
      </c>
      <c r="D361" s="0" t="inlineStr">
        <is>
          <t xml:space="preserve">g_and_a</t>
        </is>
      </c>
      <c r="E361" s="0" t="inlineStr">
        <is>
          <t xml:space="preserve">salaries</t>
        </is>
      </c>
      <c r="F361" s="4">
        <v>-139270</v>
      </c>
      <c r="G361" s="0" t="str">
        <f>"aug26"</f>
        <v>aug26</v>
      </c>
    </row>
    <row r="362">
      <c r="A362" s="0" t="inlineStr">
        <is>
          <t xml:space="preserve">j00361</t>
        </is>
      </c>
      <c r="B362" s="16">
        <v>46262</v>
      </c>
      <c r="C362" s="0" t="inlineStr">
        <is>
          <t xml:space="preserve">us</t>
        </is>
      </c>
      <c r="D362" s="0" t="inlineStr">
        <is>
          <t xml:space="preserve">g_and_a</t>
        </is>
      </c>
      <c r="E362" s="0" t="inlineStr">
        <is>
          <t xml:space="preserve">benefits</t>
        </is>
      </c>
      <c r="F362" s="4">
        <v>-28152</v>
      </c>
      <c r="G362" s="0" t="str">
        <f>"aug26"</f>
        <v>aug26</v>
      </c>
    </row>
    <row r="363">
      <c r="A363" s="0" t="inlineStr">
        <is>
          <t xml:space="preserve">j00362</t>
        </is>
      </c>
      <c r="B363" s="16">
        <v>46239</v>
      </c>
      <c r="C363" s="0" t="inlineStr">
        <is>
          <t xml:space="preserve">us</t>
        </is>
      </c>
      <c r="D363" s="0" t="inlineStr">
        <is>
          <t xml:space="preserve">g_and_a</t>
        </is>
      </c>
      <c r="E363" s="0" t="inlineStr">
        <is>
          <t xml:space="preserve">rent</t>
        </is>
      </c>
      <c r="F363" s="4">
        <v>-94859</v>
      </c>
      <c r="G363" s="0" t="str">
        <f>"aug26"</f>
        <v>aug26</v>
      </c>
    </row>
    <row r="364">
      <c r="A364" s="0" t="inlineStr">
        <is>
          <t xml:space="preserve">j00363</t>
        </is>
      </c>
      <c r="B364" s="16">
        <v>46239</v>
      </c>
      <c r="C364" s="0" t="inlineStr">
        <is>
          <t xml:space="preserve">us</t>
        </is>
      </c>
      <c r="D364" s="0" t="inlineStr">
        <is>
          <t xml:space="preserve">g_and_a</t>
        </is>
      </c>
      <c r="E364" s="0" t="inlineStr">
        <is>
          <t xml:space="preserve">professional_fees</t>
        </is>
      </c>
      <c r="F364" s="4">
        <v>-34129</v>
      </c>
      <c r="G364" s="0" t="str">
        <f>"aug26"</f>
        <v>aug26</v>
      </c>
    </row>
    <row r="365">
      <c r="A365" s="0" t="inlineStr">
        <is>
          <t xml:space="preserve">j00364</t>
        </is>
      </c>
      <c r="B365" s="16">
        <v>46254</v>
      </c>
      <c r="C365" s="0" t="inlineStr">
        <is>
          <t xml:space="preserve">us</t>
        </is>
      </c>
      <c r="D365" s="0" t="inlineStr">
        <is>
          <t xml:space="preserve">g_and_a</t>
        </is>
      </c>
      <c r="E365" s="0" t="inlineStr">
        <is>
          <t xml:space="preserve">software</t>
        </is>
      </c>
      <c r="F365" s="4">
        <v>-6538</v>
      </c>
      <c r="G365" s="0" t="str">
        <f>"aug26"</f>
        <v>aug26</v>
      </c>
    </row>
    <row r="366">
      <c r="A366" s="0" t="inlineStr">
        <is>
          <t xml:space="preserve">j00365</t>
        </is>
      </c>
      <c r="B366" s="16">
        <v>46239</v>
      </c>
      <c r="C366" s="0" t="inlineStr">
        <is>
          <t xml:space="preserve">us</t>
        </is>
      </c>
      <c r="D366" s="0" t="inlineStr">
        <is>
          <t xml:space="preserve">g_and_a</t>
        </is>
      </c>
      <c r="E366" s="0" t="inlineStr">
        <is>
          <t xml:space="preserve">software</t>
        </is>
      </c>
      <c r="F366" s="4">
        <v>-5188</v>
      </c>
      <c r="G366" s="0" t="str">
        <f>"aug26"</f>
        <v>aug26</v>
      </c>
    </row>
    <row r="367">
      <c r="A367" s="0" t="inlineStr">
        <is>
          <t xml:space="preserve">j00366</t>
        </is>
      </c>
      <c r="B367" s="16">
        <v>46254</v>
      </c>
      <c r="C367" s="0" t="inlineStr">
        <is>
          <t xml:space="preserve">us</t>
        </is>
      </c>
      <c r="D367" s="0" t="inlineStr">
        <is>
          <t xml:space="preserve">g_and_a</t>
        </is>
      </c>
      <c r="E367" s="0" t="inlineStr">
        <is>
          <t xml:space="preserve">travel</t>
        </is>
      </c>
      <c r="F367" s="4">
        <v>-3417</v>
      </c>
      <c r="G367" s="0" t="str">
        <f>"aug26"</f>
        <v>aug26</v>
      </c>
    </row>
    <row r="368">
      <c r="A368" s="0" t="inlineStr">
        <is>
          <t xml:space="preserve">j00367</t>
        </is>
      </c>
      <c r="B368" s="16">
        <v>46249</v>
      </c>
      <c r="C368" s="0" t="inlineStr">
        <is>
          <t xml:space="preserve">us</t>
        </is>
      </c>
      <c r="D368" s="0" t="inlineStr">
        <is>
          <t xml:space="preserve">g_and_a</t>
        </is>
      </c>
      <c r="E368" s="0" t="inlineStr">
        <is>
          <t xml:space="preserve">travel</t>
        </is>
      </c>
      <c r="F368" s="4">
        <v>-2487</v>
      </c>
      <c r="G368" s="0" t="str">
        <f>"aug26"</f>
        <v>aug26</v>
      </c>
    </row>
    <row r="369">
      <c r="A369" s="0" t="inlineStr">
        <is>
          <t xml:space="preserve">j00368</t>
        </is>
      </c>
      <c r="B369" s="16">
        <v>46246</v>
      </c>
      <c r="C369" s="0" t="inlineStr">
        <is>
          <t xml:space="preserve">us</t>
        </is>
      </c>
      <c r="D369" s="0" t="inlineStr">
        <is>
          <t xml:space="preserve">sales</t>
        </is>
      </c>
      <c r="E369" s="0" t="inlineStr">
        <is>
          <t xml:space="preserve">commissions</t>
        </is>
      </c>
      <c r="F369" s="4">
        <v>-79508</v>
      </c>
      <c r="G369" s="0" t="str">
        <f>"aug26"</f>
        <v>aug26</v>
      </c>
    </row>
    <row r="370">
      <c r="A370" s="0" t="inlineStr">
        <is>
          <t xml:space="preserve">j00369</t>
        </is>
      </c>
      <c r="B370" s="16">
        <v>46254</v>
      </c>
      <c r="C370" s="0" t="inlineStr">
        <is>
          <t xml:space="preserve">us</t>
        </is>
      </c>
      <c r="D370" s="0" t="inlineStr">
        <is>
          <t xml:space="preserve">sales</t>
        </is>
      </c>
      <c r="E370" s="0" t="inlineStr">
        <is>
          <t xml:space="preserve">commissions</t>
        </is>
      </c>
      <c r="F370" s="4">
        <v>-121043</v>
      </c>
      <c r="G370" s="0" t="str">
        <f>"aug26"</f>
        <v>aug26</v>
      </c>
    </row>
    <row r="371">
      <c r="A371" s="0" t="inlineStr">
        <is>
          <t xml:space="preserve">j00370</t>
        </is>
      </c>
      <c r="B371" s="16">
        <v>46262</v>
      </c>
      <c r="C371" s="0" t="inlineStr">
        <is>
          <t xml:space="preserve">us</t>
        </is>
      </c>
      <c r="D371" s="0" t="inlineStr">
        <is>
          <t xml:space="preserve">marketing</t>
        </is>
      </c>
      <c r="E371" s="0" t="inlineStr">
        <is>
          <t xml:space="preserve">marketing_programs</t>
        </is>
      </c>
      <c r="F371" s="4">
        <v>-346268</v>
      </c>
      <c r="G371" s="0" t="str">
        <f>"aug26"</f>
        <v>aug26</v>
      </c>
    </row>
    <row r="372">
      <c r="A372" s="0" t="inlineStr">
        <is>
          <t xml:space="preserve">j00371</t>
        </is>
      </c>
      <c r="B372" s="16">
        <v>46254</v>
      </c>
      <c r="C372" s="0" t="inlineStr">
        <is>
          <t xml:space="preserve">us</t>
        </is>
      </c>
      <c r="D372" s="0" t="inlineStr">
        <is>
          <t xml:space="preserve">engineering</t>
        </is>
      </c>
      <c r="E372" s="0" t="inlineStr">
        <is>
          <t xml:space="preserve">cloud</t>
        </is>
      </c>
      <c r="F372" s="4">
        <v>-243539</v>
      </c>
      <c r="G372" s="0" t="str">
        <f>"aug26"</f>
        <v>aug26</v>
      </c>
    </row>
    <row r="373">
      <c r="A373" s="0" t="inlineStr">
        <is>
          <t xml:space="preserve">j00372</t>
        </is>
      </c>
      <c r="B373" s="16">
        <v>46254</v>
      </c>
      <c r="C373" s="0" t="inlineStr">
        <is>
          <t xml:space="preserve">us</t>
        </is>
      </c>
      <c r="D373" s="0" t="inlineStr">
        <is>
          <t xml:space="preserve">engineering</t>
        </is>
      </c>
      <c r="E373" s="0" t="inlineStr">
        <is>
          <t xml:space="preserve">cloud</t>
        </is>
      </c>
      <c r="F373" s="4">
        <v>-99613</v>
      </c>
      <c r="G373" s="0" t="str">
        <f>"aug26"</f>
        <v>aug26</v>
      </c>
    </row>
    <row r="374">
      <c r="A374" s="0" t="inlineStr">
        <is>
          <t xml:space="preserve">j00373</t>
        </is>
      </c>
      <c r="B374" s="16">
        <v>46239</v>
      </c>
      <c r="C374" s="0" t="inlineStr">
        <is>
          <t xml:space="preserve">us</t>
        </is>
      </c>
      <c r="D374" s="0" t="inlineStr">
        <is>
          <t xml:space="preserve">engineering</t>
        </is>
      </c>
      <c r="E374" s="0" t="inlineStr">
        <is>
          <t xml:space="preserve">cloud</t>
        </is>
      </c>
      <c r="F374" s="4">
        <v>-74106</v>
      </c>
      <c r="G374" s="0" t="str">
        <f>"aug26"</f>
        <v>aug26</v>
      </c>
    </row>
    <row r="375">
      <c r="A375" s="0" t="inlineStr">
        <is>
          <t xml:space="preserve">j00374</t>
        </is>
      </c>
      <c r="B375" s="16">
        <v>46034</v>
      </c>
      <c r="C375" s="0" t="inlineStr">
        <is>
          <t xml:space="preserve">uk</t>
        </is>
      </c>
      <c r="D375" s="0" t="inlineStr">
        <is>
          <t xml:space="preserve">company</t>
        </is>
      </c>
      <c r="E375" s="0" t="inlineStr">
        <is>
          <t xml:space="preserve">revenue</t>
        </is>
      </c>
      <c r="F375" s="4">
        <v>780631</v>
      </c>
      <c r="G375" s="0" t="str">
        <f>"jan26"</f>
        <v>jan26</v>
      </c>
    </row>
    <row r="376">
      <c r="A376" s="0" t="inlineStr">
        <is>
          <t xml:space="preserve">j00375</t>
        </is>
      </c>
      <c r="B376" s="16">
        <v>46042</v>
      </c>
      <c r="C376" s="0" t="inlineStr">
        <is>
          <t xml:space="preserve">uk</t>
        </is>
      </c>
      <c r="D376" s="0" t="inlineStr">
        <is>
          <t xml:space="preserve">company</t>
        </is>
      </c>
      <c r="E376" s="0" t="inlineStr">
        <is>
          <t xml:space="preserve">revenue</t>
        </is>
      </c>
      <c r="F376" s="4">
        <v>477502</v>
      </c>
      <c r="G376" s="0" t="str">
        <f>"jan26"</f>
        <v>jan26</v>
      </c>
    </row>
    <row r="377">
      <c r="A377" s="0" t="inlineStr">
        <is>
          <t xml:space="preserve">j00376</t>
        </is>
      </c>
      <c r="B377" s="16">
        <v>46027</v>
      </c>
      <c r="C377" s="0" t="inlineStr">
        <is>
          <t xml:space="preserve">uk</t>
        </is>
      </c>
      <c r="D377" s="0" t="inlineStr">
        <is>
          <t xml:space="preserve">company</t>
        </is>
      </c>
      <c r="E377" s="0" t="inlineStr">
        <is>
          <t xml:space="preserve">revenue</t>
        </is>
      </c>
      <c r="F377" s="4">
        <v>415807</v>
      </c>
      <c r="G377" s="0" t="str">
        <f>"jan26"</f>
        <v>jan26</v>
      </c>
    </row>
    <row r="378">
      <c r="A378" s="0" t="inlineStr">
        <is>
          <t xml:space="preserve">j00377</t>
        </is>
      </c>
      <c r="B378" s="16">
        <v>46042</v>
      </c>
      <c r="C378" s="0" t="inlineStr">
        <is>
          <t xml:space="preserve">uk</t>
        </is>
      </c>
      <c r="D378" s="0" t="inlineStr">
        <is>
          <t xml:space="preserve">company</t>
        </is>
      </c>
      <c r="E378" s="0" t="inlineStr">
        <is>
          <t xml:space="preserve">cogs_hosting</t>
        </is>
      </c>
      <c r="F378" s="4">
        <v>-110712</v>
      </c>
      <c r="G378" s="0" t="str">
        <f>"jan26"</f>
        <v>jan26</v>
      </c>
    </row>
    <row r="379">
      <c r="A379" s="0" t="inlineStr">
        <is>
          <t xml:space="preserve">j00378</t>
        </is>
      </c>
      <c r="B379" s="16">
        <v>46027</v>
      </c>
      <c r="C379" s="0" t="inlineStr">
        <is>
          <t xml:space="preserve">uk</t>
        </is>
      </c>
      <c r="D379" s="0" t="inlineStr">
        <is>
          <t xml:space="preserve">company</t>
        </is>
      </c>
      <c r="E379" s="0" t="inlineStr">
        <is>
          <t xml:space="preserve">cogs_hosting</t>
        </is>
      </c>
      <c r="F379" s="4">
        <v>-90065</v>
      </c>
      <c r="G379" s="0" t="str">
        <f>"jan26"</f>
        <v>jan26</v>
      </c>
    </row>
    <row r="380">
      <c r="A380" s="0" t="inlineStr">
        <is>
          <t xml:space="preserve">j00379</t>
        </is>
      </c>
      <c r="B380" s="16">
        <v>46037</v>
      </c>
      <c r="C380" s="0" t="inlineStr">
        <is>
          <t xml:space="preserve">uk</t>
        </is>
      </c>
      <c r="D380" s="0" t="inlineStr">
        <is>
          <t xml:space="preserve">company</t>
        </is>
      </c>
      <c r="E380" s="0" t="inlineStr">
        <is>
          <t xml:space="preserve">cogs_support</t>
        </is>
      </c>
      <c r="F380" s="4">
        <v>-38341</v>
      </c>
      <c r="G380" s="0" t="str">
        <f>"jan26"</f>
        <v>jan26</v>
      </c>
    </row>
    <row r="381">
      <c r="A381" s="0" t="inlineStr">
        <is>
          <t xml:space="preserve">j00380</t>
        </is>
      </c>
      <c r="B381" s="16">
        <v>46042</v>
      </c>
      <c r="C381" s="0" t="inlineStr">
        <is>
          <t xml:space="preserve">uk</t>
        </is>
      </c>
      <c r="D381" s="0" t="inlineStr">
        <is>
          <t xml:space="preserve">company</t>
        </is>
      </c>
      <c r="E381" s="0" t="inlineStr">
        <is>
          <t xml:space="preserve">cogs_support</t>
        </is>
      </c>
      <c r="F381" s="4">
        <v>-46357</v>
      </c>
      <c r="G381" s="0" t="str">
        <f>"jan26"</f>
        <v>jan26</v>
      </c>
    </row>
    <row r="382">
      <c r="A382" s="0" t="inlineStr">
        <is>
          <t xml:space="preserve">j00381</t>
        </is>
      </c>
      <c r="B382" s="16">
        <v>46047</v>
      </c>
      <c r="C382" s="0" t="inlineStr">
        <is>
          <t xml:space="preserve">uk</t>
        </is>
      </c>
      <c r="D382" s="0" t="inlineStr">
        <is>
          <t xml:space="preserve">sales</t>
        </is>
      </c>
      <c r="E382" s="0" t="inlineStr">
        <is>
          <t xml:space="preserve">salaries</t>
        </is>
      </c>
      <c r="F382" s="4">
        <v>-107807</v>
      </c>
      <c r="G382" s="0" t="str">
        <f>"jan26"</f>
        <v>jan26</v>
      </c>
    </row>
    <row r="383">
      <c r="A383" s="0" t="inlineStr">
        <is>
          <t xml:space="preserve">j00382</t>
        </is>
      </c>
      <c r="B383" s="16">
        <v>46042</v>
      </c>
      <c r="C383" s="0" t="inlineStr">
        <is>
          <t xml:space="preserve">uk</t>
        </is>
      </c>
      <c r="D383" s="0" t="inlineStr">
        <is>
          <t xml:space="preserve">sales</t>
        </is>
      </c>
      <c r="E383" s="0" t="inlineStr">
        <is>
          <t xml:space="preserve">benefits</t>
        </is>
      </c>
      <c r="F383" s="4">
        <v>-22149</v>
      </c>
      <c r="G383" s="0" t="str">
        <f>"jan26"</f>
        <v>jan26</v>
      </c>
    </row>
    <row r="384">
      <c r="A384" s="0" t="inlineStr">
        <is>
          <t xml:space="preserve">j00383</t>
        </is>
      </c>
      <c r="B384" s="16">
        <v>46050</v>
      </c>
      <c r="C384" s="0" t="inlineStr">
        <is>
          <t xml:space="preserve">uk</t>
        </is>
      </c>
      <c r="D384" s="0" t="inlineStr">
        <is>
          <t xml:space="preserve">sales</t>
        </is>
      </c>
      <c r="E384" s="0" t="inlineStr">
        <is>
          <t xml:space="preserve">travel</t>
        </is>
      </c>
      <c r="F384" s="4">
        <v>-15261</v>
      </c>
      <c r="G384" s="0" t="str">
        <f>"jan26"</f>
        <v>jan26</v>
      </c>
    </row>
    <row r="385">
      <c r="A385" s="0" t="inlineStr">
        <is>
          <t xml:space="preserve">j00384</t>
        </is>
      </c>
      <c r="B385" s="16">
        <v>46050</v>
      </c>
      <c r="C385" s="0" t="inlineStr">
        <is>
          <t xml:space="preserve">uk</t>
        </is>
      </c>
      <c r="D385" s="0" t="inlineStr">
        <is>
          <t xml:space="preserve">sales</t>
        </is>
      </c>
      <c r="E385" s="0" t="inlineStr">
        <is>
          <t xml:space="preserve">software</t>
        </is>
      </c>
      <c r="F385" s="4">
        <v>-1211</v>
      </c>
      <c r="G385" s="0" t="str">
        <f>"jan26"</f>
        <v>jan26</v>
      </c>
    </row>
    <row r="386">
      <c r="A386" s="0" t="inlineStr">
        <is>
          <t xml:space="preserve">j00385</t>
        </is>
      </c>
      <c r="B386" s="16">
        <v>46034</v>
      </c>
      <c r="C386" s="0" t="inlineStr">
        <is>
          <t xml:space="preserve">uk</t>
        </is>
      </c>
      <c r="D386" s="0" t="inlineStr">
        <is>
          <t xml:space="preserve">sales</t>
        </is>
      </c>
      <c r="E386" s="0" t="inlineStr">
        <is>
          <t xml:space="preserve">software</t>
        </is>
      </c>
      <c r="F386" s="4">
        <v>-2551</v>
      </c>
      <c r="G386" s="0" t="str">
        <f>"jan26"</f>
        <v>jan26</v>
      </c>
    </row>
    <row r="387">
      <c r="A387" s="0" t="inlineStr">
        <is>
          <t xml:space="preserve">j00386</t>
        </is>
      </c>
      <c r="B387" s="16">
        <v>46047</v>
      </c>
      <c r="C387" s="0" t="inlineStr">
        <is>
          <t xml:space="preserve">uk</t>
        </is>
      </c>
      <c r="D387" s="0" t="inlineStr">
        <is>
          <t xml:space="preserve">marketing</t>
        </is>
      </c>
      <c r="E387" s="0" t="inlineStr">
        <is>
          <t xml:space="preserve">salaries</t>
        </is>
      </c>
      <c r="F387" s="4">
        <v>-41807</v>
      </c>
      <c r="G387" s="0" t="str">
        <f>"jan26"</f>
        <v>jan26</v>
      </c>
    </row>
    <row r="388">
      <c r="A388" s="0" t="inlineStr">
        <is>
          <t xml:space="preserve">j00387</t>
        </is>
      </c>
      <c r="B388" s="16">
        <v>46042</v>
      </c>
      <c r="C388" s="0" t="inlineStr">
        <is>
          <t xml:space="preserve">uk</t>
        </is>
      </c>
      <c r="D388" s="0" t="inlineStr">
        <is>
          <t xml:space="preserve">marketing</t>
        </is>
      </c>
      <c r="E388" s="0" t="inlineStr">
        <is>
          <t xml:space="preserve">benefits</t>
        </is>
      </c>
      <c r="F388" s="4">
        <v>-8478</v>
      </c>
      <c r="G388" s="0" t="str">
        <f>"jan26"</f>
        <v>jan26</v>
      </c>
    </row>
    <row r="389">
      <c r="A389" s="0" t="inlineStr">
        <is>
          <t xml:space="preserve">j00388</t>
        </is>
      </c>
      <c r="B389" s="16">
        <v>46037</v>
      </c>
      <c r="C389" s="0" t="inlineStr">
        <is>
          <t xml:space="preserve">uk</t>
        </is>
      </c>
      <c r="D389" s="0" t="inlineStr">
        <is>
          <t xml:space="preserve">marketing</t>
        </is>
      </c>
      <c r="E389" s="0" t="inlineStr">
        <is>
          <t xml:space="preserve">software</t>
        </is>
      </c>
      <c r="F389" s="4">
        <v>-2396</v>
      </c>
      <c r="G389" s="0" t="str">
        <f>"jan26"</f>
        <v>jan26</v>
      </c>
    </row>
    <row r="390">
      <c r="A390" s="0" t="inlineStr">
        <is>
          <t xml:space="preserve">j00389</t>
        </is>
      </c>
      <c r="B390" s="16">
        <v>46034</v>
      </c>
      <c r="C390" s="0" t="inlineStr">
        <is>
          <t xml:space="preserve">uk</t>
        </is>
      </c>
      <c r="D390" s="0" t="inlineStr">
        <is>
          <t xml:space="preserve">marketing</t>
        </is>
      </c>
      <c r="E390" s="0" t="inlineStr">
        <is>
          <t xml:space="preserve">software</t>
        </is>
      </c>
      <c r="F390" s="4">
        <v>-3870</v>
      </c>
      <c r="G390" s="0" t="str">
        <f>"jan26"</f>
        <v>jan26</v>
      </c>
    </row>
    <row r="391">
      <c r="A391" s="0" t="inlineStr">
        <is>
          <t xml:space="preserve">j00390</t>
        </is>
      </c>
      <c r="B391" s="16">
        <v>46037</v>
      </c>
      <c r="C391" s="0" t="inlineStr">
        <is>
          <t xml:space="preserve">uk</t>
        </is>
      </c>
      <c r="D391" s="0" t="inlineStr">
        <is>
          <t xml:space="preserve">marketing</t>
        </is>
      </c>
      <c r="E391" s="0" t="inlineStr">
        <is>
          <t xml:space="preserve">travel</t>
        </is>
      </c>
      <c r="F391" s="4">
        <v>-1043</v>
      </c>
      <c r="G391" s="0" t="str">
        <f>"jan26"</f>
        <v>jan26</v>
      </c>
    </row>
    <row r="392">
      <c r="A392" s="0" t="inlineStr">
        <is>
          <t xml:space="preserve">j00391</t>
        </is>
      </c>
      <c r="B392" s="16">
        <v>46037</v>
      </c>
      <c r="C392" s="0" t="inlineStr">
        <is>
          <t xml:space="preserve">uk</t>
        </is>
      </c>
      <c r="D392" s="0" t="inlineStr">
        <is>
          <t xml:space="preserve">marketing</t>
        </is>
      </c>
      <c r="E392" s="0" t="inlineStr">
        <is>
          <t xml:space="preserve">travel</t>
        </is>
      </c>
      <c r="F392" s="4">
        <v>-2512</v>
      </c>
      <c r="G392" s="0" t="str">
        <f>"jan26"</f>
        <v>jan26</v>
      </c>
    </row>
    <row r="393">
      <c r="A393" s="0" t="inlineStr">
        <is>
          <t xml:space="preserve">j00392</t>
        </is>
      </c>
      <c r="B393" s="16">
        <v>46027</v>
      </c>
      <c r="C393" s="0" t="inlineStr">
        <is>
          <t xml:space="preserve">uk</t>
        </is>
      </c>
      <c r="D393" s="0" t="inlineStr">
        <is>
          <t xml:space="preserve">marketing</t>
        </is>
      </c>
      <c r="E393" s="0" t="inlineStr">
        <is>
          <t xml:space="preserve">travel</t>
        </is>
      </c>
      <c r="F393" s="4">
        <v>-1372</v>
      </c>
      <c r="G393" s="0" t="str">
        <f>"jan26"</f>
        <v>jan26</v>
      </c>
    </row>
    <row r="394">
      <c r="A394" s="0" t="inlineStr">
        <is>
          <t xml:space="preserve">j00393</t>
        </is>
      </c>
      <c r="B394" s="16">
        <v>46047</v>
      </c>
      <c r="C394" s="0" t="inlineStr">
        <is>
          <t xml:space="preserve">uk</t>
        </is>
      </c>
      <c r="D394" s="0" t="inlineStr">
        <is>
          <t xml:space="preserve">engineering</t>
        </is>
      </c>
      <c r="E394" s="0" t="inlineStr">
        <is>
          <t xml:space="preserve">salaries</t>
        </is>
      </c>
      <c r="F394" s="4">
        <v>-210545</v>
      </c>
      <c r="G394" s="0" t="str">
        <f>"jan26"</f>
        <v>jan26</v>
      </c>
    </row>
    <row r="395">
      <c r="A395" s="0" t="inlineStr">
        <is>
          <t xml:space="preserve">j00394</t>
        </is>
      </c>
      <c r="B395" s="16">
        <v>46037</v>
      </c>
      <c r="C395" s="0" t="inlineStr">
        <is>
          <t xml:space="preserve">uk</t>
        </is>
      </c>
      <c r="D395" s="0" t="inlineStr">
        <is>
          <t xml:space="preserve">engineering</t>
        </is>
      </c>
      <c r="E395" s="0" t="inlineStr">
        <is>
          <t xml:space="preserve">benefits</t>
        </is>
      </c>
      <c r="F395" s="4">
        <v>-49072</v>
      </c>
      <c r="G395" s="0" t="str">
        <f>"jan26"</f>
        <v>jan26</v>
      </c>
    </row>
    <row r="396">
      <c r="A396" s="0" t="inlineStr">
        <is>
          <t xml:space="preserve">j00395</t>
        </is>
      </c>
      <c r="B396" s="16">
        <v>46027</v>
      </c>
      <c r="C396" s="0" t="inlineStr">
        <is>
          <t xml:space="preserve">uk</t>
        </is>
      </c>
      <c r="D396" s="0" t="inlineStr">
        <is>
          <t xml:space="preserve">engineering</t>
        </is>
      </c>
      <c r="E396" s="0" t="inlineStr">
        <is>
          <t xml:space="preserve">contractors</t>
        </is>
      </c>
      <c r="F396" s="4">
        <v>-13082</v>
      </c>
      <c r="G396" s="0" t="str">
        <f>"jan26"</f>
        <v>jan26</v>
      </c>
    </row>
    <row r="397">
      <c r="A397" s="0" t="inlineStr">
        <is>
          <t xml:space="preserve">j00396</t>
        </is>
      </c>
      <c r="B397" s="16">
        <v>46037</v>
      </c>
      <c r="C397" s="0" t="inlineStr">
        <is>
          <t xml:space="preserve">uk</t>
        </is>
      </c>
      <c r="D397" s="0" t="inlineStr">
        <is>
          <t xml:space="preserve">engineering</t>
        </is>
      </c>
      <c r="E397" s="0" t="inlineStr">
        <is>
          <t xml:space="preserve">contractors</t>
        </is>
      </c>
      <c r="F397" s="4">
        <v>-16035</v>
      </c>
      <c r="G397" s="0" t="str">
        <f>"jan26"</f>
        <v>jan26</v>
      </c>
    </row>
    <row r="398">
      <c r="A398" s="0" t="inlineStr">
        <is>
          <t xml:space="preserve">j00397</t>
        </is>
      </c>
      <c r="B398" s="16">
        <v>46042</v>
      </c>
      <c r="C398" s="0" t="inlineStr">
        <is>
          <t xml:space="preserve">uk</t>
        </is>
      </c>
      <c r="D398" s="0" t="inlineStr">
        <is>
          <t xml:space="preserve">engineering</t>
        </is>
      </c>
      <c r="E398" s="0" t="inlineStr">
        <is>
          <t xml:space="preserve">software</t>
        </is>
      </c>
      <c r="F398" s="4">
        <v>-2428</v>
      </c>
      <c r="G398" s="0" t="str">
        <f>"jan26"</f>
        <v>jan26</v>
      </c>
    </row>
    <row r="399">
      <c r="A399" s="0" t="inlineStr">
        <is>
          <t xml:space="preserve">j00398</t>
        </is>
      </c>
      <c r="B399" s="16">
        <v>46042</v>
      </c>
      <c r="C399" s="0" t="inlineStr">
        <is>
          <t xml:space="preserve">uk</t>
        </is>
      </c>
      <c r="D399" s="0" t="inlineStr">
        <is>
          <t xml:space="preserve">engineering</t>
        </is>
      </c>
      <c r="E399" s="0" t="inlineStr">
        <is>
          <t xml:space="preserve">software</t>
        </is>
      </c>
      <c r="F399" s="4">
        <v>-2607</v>
      </c>
      <c r="G399" s="0" t="str">
        <f>"jan26"</f>
        <v>jan26</v>
      </c>
    </row>
    <row r="400">
      <c r="A400" s="0" t="inlineStr">
        <is>
          <t xml:space="preserve">j00399</t>
        </is>
      </c>
      <c r="B400" s="16">
        <v>46050</v>
      </c>
      <c r="C400" s="0" t="inlineStr">
        <is>
          <t xml:space="preserve">uk</t>
        </is>
      </c>
      <c r="D400" s="0" t="inlineStr">
        <is>
          <t xml:space="preserve">engineering</t>
        </is>
      </c>
      <c r="E400" s="0" t="inlineStr">
        <is>
          <t xml:space="preserve">software</t>
        </is>
      </c>
      <c r="F400" s="4">
        <v>-3409</v>
      </c>
      <c r="G400" s="0" t="str">
        <f>"jan26"</f>
        <v>jan26</v>
      </c>
    </row>
    <row r="401">
      <c r="A401" s="0" t="inlineStr">
        <is>
          <t xml:space="preserve">j00400</t>
        </is>
      </c>
      <c r="B401" s="16">
        <v>46047</v>
      </c>
      <c r="C401" s="0" t="inlineStr">
        <is>
          <t xml:space="preserve">uk</t>
        </is>
      </c>
      <c r="D401" s="0" t="inlineStr">
        <is>
          <t xml:space="preserve">customer_success</t>
        </is>
      </c>
      <c r="E401" s="0" t="inlineStr">
        <is>
          <t xml:space="preserve">salaries</t>
        </is>
      </c>
      <c r="F401" s="4">
        <v>-40115</v>
      </c>
      <c r="G401" s="0" t="str">
        <f>"jan26"</f>
        <v>jan26</v>
      </c>
    </row>
    <row r="402">
      <c r="A402" s="0" t="inlineStr">
        <is>
          <t xml:space="preserve">j00401</t>
        </is>
      </c>
      <c r="B402" s="16">
        <v>46037</v>
      </c>
      <c r="C402" s="0" t="inlineStr">
        <is>
          <t xml:space="preserve">uk</t>
        </is>
      </c>
      <c r="D402" s="0" t="inlineStr">
        <is>
          <t xml:space="preserve">customer_success</t>
        </is>
      </c>
      <c r="E402" s="0" t="inlineStr">
        <is>
          <t xml:space="preserve">benefits</t>
        </is>
      </c>
      <c r="F402" s="4">
        <v>-8286</v>
      </c>
      <c r="G402" s="0" t="str">
        <f>"jan26"</f>
        <v>jan26</v>
      </c>
    </row>
    <row r="403">
      <c r="A403" s="0" t="inlineStr">
        <is>
          <t xml:space="preserve">j00402</t>
        </is>
      </c>
      <c r="B403" s="16">
        <v>46042</v>
      </c>
      <c r="C403" s="0" t="inlineStr">
        <is>
          <t xml:space="preserve">uk</t>
        </is>
      </c>
      <c r="D403" s="0" t="inlineStr">
        <is>
          <t xml:space="preserve">customer_success</t>
        </is>
      </c>
      <c r="E403" s="0" t="inlineStr">
        <is>
          <t xml:space="preserve">software</t>
        </is>
      </c>
      <c r="F403" s="4">
        <v>-2299</v>
      </c>
      <c r="G403" s="0" t="str">
        <f>"jan26"</f>
        <v>jan26</v>
      </c>
    </row>
    <row r="404">
      <c r="A404" s="0" t="inlineStr">
        <is>
          <t xml:space="preserve">j00403</t>
        </is>
      </c>
      <c r="B404" s="16">
        <v>46042</v>
      </c>
      <c r="C404" s="0" t="inlineStr">
        <is>
          <t xml:space="preserve">uk</t>
        </is>
      </c>
      <c r="D404" s="0" t="inlineStr">
        <is>
          <t xml:space="preserve">customer_success</t>
        </is>
      </c>
      <c r="E404" s="0" t="inlineStr">
        <is>
          <t xml:space="preserve">software</t>
        </is>
      </c>
      <c r="F404" s="4">
        <v>-659</v>
      </c>
      <c r="G404" s="0" t="str">
        <f>"jan26"</f>
        <v>jan26</v>
      </c>
    </row>
    <row r="405">
      <c r="A405" s="0" t="inlineStr">
        <is>
          <t xml:space="preserve">j00404</t>
        </is>
      </c>
      <c r="B405" s="16">
        <v>46027</v>
      </c>
      <c r="C405" s="0" t="inlineStr">
        <is>
          <t xml:space="preserve">uk</t>
        </is>
      </c>
      <c r="D405" s="0" t="inlineStr">
        <is>
          <t xml:space="preserve">customer_success</t>
        </is>
      </c>
      <c r="E405" s="0" t="inlineStr">
        <is>
          <t xml:space="preserve">travel</t>
        </is>
      </c>
      <c r="F405" s="4">
        <v>-847</v>
      </c>
      <c r="G405" s="0" t="str">
        <f>"jan26"</f>
        <v>jan26</v>
      </c>
    </row>
    <row r="406">
      <c r="A406" s="0" t="inlineStr">
        <is>
          <t xml:space="preserve">j00405</t>
        </is>
      </c>
      <c r="B406" s="16">
        <v>46027</v>
      </c>
      <c r="C406" s="0" t="inlineStr">
        <is>
          <t xml:space="preserve">uk</t>
        </is>
      </c>
      <c r="D406" s="0" t="inlineStr">
        <is>
          <t xml:space="preserve">customer_success</t>
        </is>
      </c>
      <c r="E406" s="0" t="inlineStr">
        <is>
          <t xml:space="preserve">travel</t>
        </is>
      </c>
      <c r="F406" s="4">
        <v>-851</v>
      </c>
      <c r="G406" s="0" t="str">
        <f>"jan26"</f>
        <v>jan26</v>
      </c>
    </row>
    <row r="407">
      <c r="A407" s="0" t="inlineStr">
        <is>
          <t xml:space="preserve">j00406</t>
        </is>
      </c>
      <c r="B407" s="16">
        <v>46047</v>
      </c>
      <c r="C407" s="0" t="inlineStr">
        <is>
          <t xml:space="preserve">uk</t>
        </is>
      </c>
      <c r="D407" s="0" t="inlineStr">
        <is>
          <t xml:space="preserve">g_and_a</t>
        </is>
      </c>
      <c r="E407" s="0" t="inlineStr">
        <is>
          <t xml:space="preserve">salaries</t>
        </is>
      </c>
      <c r="F407" s="4">
        <v>-42626</v>
      </c>
      <c r="G407" s="0" t="str">
        <f>"jan26"</f>
        <v>jan26</v>
      </c>
    </row>
    <row r="408">
      <c r="A408" s="0" t="inlineStr">
        <is>
          <t xml:space="preserve">j00407</t>
        </is>
      </c>
      <c r="B408" s="16">
        <v>46037</v>
      </c>
      <c r="C408" s="0" t="inlineStr">
        <is>
          <t xml:space="preserve">uk</t>
        </is>
      </c>
      <c r="D408" s="0" t="inlineStr">
        <is>
          <t xml:space="preserve">g_and_a</t>
        </is>
      </c>
      <c r="E408" s="0" t="inlineStr">
        <is>
          <t xml:space="preserve">benefits</t>
        </is>
      </c>
      <c r="F408" s="4">
        <v>-8697</v>
      </c>
      <c r="G408" s="0" t="str">
        <f>"jan26"</f>
        <v>jan26</v>
      </c>
    </row>
    <row r="409">
      <c r="A409" s="0" t="inlineStr">
        <is>
          <t xml:space="preserve">j00408</t>
        </is>
      </c>
      <c r="B409" s="16">
        <v>46034</v>
      </c>
      <c r="C409" s="0" t="inlineStr">
        <is>
          <t xml:space="preserve">uk</t>
        </is>
      </c>
      <c r="D409" s="0" t="inlineStr">
        <is>
          <t xml:space="preserve">g_and_a</t>
        </is>
      </c>
      <c r="E409" s="0" t="inlineStr">
        <is>
          <t xml:space="preserve">rent</t>
        </is>
      </c>
      <c r="F409" s="4">
        <v>-37724</v>
      </c>
      <c r="G409" s="0" t="str">
        <f>"jan26"</f>
        <v>jan26</v>
      </c>
    </row>
    <row r="410">
      <c r="A410" s="0" t="inlineStr">
        <is>
          <t xml:space="preserve">j00409</t>
        </is>
      </c>
      <c r="B410" s="16">
        <v>46050</v>
      </c>
      <c r="C410" s="0" t="inlineStr">
        <is>
          <t xml:space="preserve">uk</t>
        </is>
      </c>
      <c r="D410" s="0" t="inlineStr">
        <is>
          <t xml:space="preserve">g_and_a</t>
        </is>
      </c>
      <c r="E410" s="0" t="inlineStr">
        <is>
          <t xml:space="preserve">professional_fees</t>
        </is>
      </c>
      <c r="F410" s="4">
        <v>-14770</v>
      </c>
      <c r="G410" s="0" t="str">
        <f>"jan26"</f>
        <v>jan26</v>
      </c>
    </row>
    <row r="411">
      <c r="A411" s="0" t="inlineStr">
        <is>
          <t xml:space="preserve">j00410</t>
        </is>
      </c>
      <c r="B411" s="16">
        <v>46050</v>
      </c>
      <c r="C411" s="0" t="inlineStr">
        <is>
          <t xml:space="preserve">uk</t>
        </is>
      </c>
      <c r="D411" s="0" t="inlineStr">
        <is>
          <t xml:space="preserve">g_and_a</t>
        </is>
      </c>
      <c r="E411" s="0" t="inlineStr">
        <is>
          <t xml:space="preserve">software</t>
        </is>
      </c>
      <c r="F411" s="4">
        <v>-885</v>
      </c>
      <c r="G411" s="0" t="str">
        <f>"jan26"</f>
        <v>jan26</v>
      </c>
    </row>
    <row r="412">
      <c r="A412" s="0" t="inlineStr">
        <is>
          <t xml:space="preserve">j00411</t>
        </is>
      </c>
      <c r="B412" s="16">
        <v>46027</v>
      </c>
      <c r="C412" s="0" t="inlineStr">
        <is>
          <t xml:space="preserve">uk</t>
        </is>
      </c>
      <c r="D412" s="0" t="inlineStr">
        <is>
          <t xml:space="preserve">g_and_a</t>
        </is>
      </c>
      <c r="E412" s="0" t="inlineStr">
        <is>
          <t xml:space="preserve">software</t>
        </is>
      </c>
      <c r="F412" s="4">
        <v>-2003</v>
      </c>
      <c r="G412" s="0" t="str">
        <f>"jan26"</f>
        <v>jan26</v>
      </c>
    </row>
    <row r="413">
      <c r="A413" s="0" t="inlineStr">
        <is>
          <t xml:space="preserve">j00412</t>
        </is>
      </c>
      <c r="B413" s="16">
        <v>46037</v>
      </c>
      <c r="C413" s="0" t="inlineStr">
        <is>
          <t xml:space="preserve">uk</t>
        </is>
      </c>
      <c r="D413" s="0" t="inlineStr">
        <is>
          <t xml:space="preserve">g_and_a</t>
        </is>
      </c>
      <c r="E413" s="0" t="inlineStr">
        <is>
          <t xml:space="preserve">software</t>
        </is>
      </c>
      <c r="F413" s="4">
        <v>-1792</v>
      </c>
      <c r="G413" s="0" t="str">
        <f>"jan26"</f>
        <v>jan26</v>
      </c>
    </row>
    <row r="414">
      <c r="A414" s="0" t="inlineStr">
        <is>
          <t xml:space="preserve">j00413</t>
        </is>
      </c>
      <c r="B414" s="16">
        <v>46027</v>
      </c>
      <c r="C414" s="0" t="inlineStr">
        <is>
          <t xml:space="preserve">uk</t>
        </is>
      </c>
      <c r="D414" s="0" t="inlineStr">
        <is>
          <t xml:space="preserve">g_and_a</t>
        </is>
      </c>
      <c r="E414" s="0" t="inlineStr">
        <is>
          <t xml:space="preserve">travel</t>
        </is>
      </c>
      <c r="F414" s="4">
        <v>-657</v>
      </c>
      <c r="G414" s="0" t="str">
        <f>"jan26"</f>
        <v>jan26</v>
      </c>
    </row>
    <row r="415">
      <c r="A415" s="0" t="inlineStr">
        <is>
          <t xml:space="preserve">j00414</t>
        </is>
      </c>
      <c r="B415" s="16">
        <v>46027</v>
      </c>
      <c r="C415" s="0" t="inlineStr">
        <is>
          <t xml:space="preserve">uk</t>
        </is>
      </c>
      <c r="D415" s="0" t="inlineStr">
        <is>
          <t xml:space="preserve">g_and_a</t>
        </is>
      </c>
      <c r="E415" s="0" t="inlineStr">
        <is>
          <t xml:space="preserve">travel</t>
        </is>
      </c>
      <c r="F415" s="4">
        <v>-2048</v>
      </c>
      <c r="G415" s="0" t="str">
        <f>"jan26"</f>
        <v>jan26</v>
      </c>
    </row>
    <row r="416">
      <c r="A416" s="0" t="inlineStr">
        <is>
          <t xml:space="preserve">j00415</t>
        </is>
      </c>
      <c r="B416" s="16">
        <v>46027</v>
      </c>
      <c r="C416" s="0" t="inlineStr">
        <is>
          <t xml:space="preserve">uk</t>
        </is>
      </c>
      <c r="D416" s="0" t="inlineStr">
        <is>
          <t xml:space="preserve">sales</t>
        </is>
      </c>
      <c r="E416" s="0" t="inlineStr">
        <is>
          <t xml:space="preserve">commissions</t>
        </is>
      </c>
      <c r="F416" s="4">
        <v>-13016</v>
      </c>
      <c r="G416" s="0" t="str">
        <f>"jan26"</f>
        <v>jan26</v>
      </c>
    </row>
    <row r="417">
      <c r="A417" s="0" t="inlineStr">
        <is>
          <t xml:space="preserve">j00416</t>
        </is>
      </c>
      <c r="B417" s="16">
        <v>46037</v>
      </c>
      <c r="C417" s="0" t="inlineStr">
        <is>
          <t xml:space="preserve">uk</t>
        </is>
      </c>
      <c r="D417" s="0" t="inlineStr">
        <is>
          <t xml:space="preserve">sales</t>
        </is>
      </c>
      <c r="E417" s="0" t="inlineStr">
        <is>
          <t xml:space="preserve">commissions</t>
        </is>
      </c>
      <c r="F417" s="4">
        <v>-28630</v>
      </c>
      <c r="G417" s="0" t="str">
        <f>"jan26"</f>
        <v>jan26</v>
      </c>
    </row>
    <row r="418">
      <c r="A418" s="0" t="inlineStr">
        <is>
          <t xml:space="preserve">j00417</t>
        </is>
      </c>
      <c r="B418" s="16">
        <v>46042</v>
      </c>
      <c r="C418" s="0" t="inlineStr">
        <is>
          <t xml:space="preserve">uk</t>
        </is>
      </c>
      <c r="D418" s="0" t="inlineStr">
        <is>
          <t xml:space="preserve">sales</t>
        </is>
      </c>
      <c r="E418" s="0" t="inlineStr">
        <is>
          <t xml:space="preserve">commissions</t>
        </is>
      </c>
      <c r="F418" s="4">
        <v>-43824</v>
      </c>
      <c r="G418" s="0" t="str">
        <f>"jan26"</f>
        <v>jan26</v>
      </c>
    </row>
    <row r="419">
      <c r="A419" s="0" t="inlineStr">
        <is>
          <t xml:space="preserve">j00418</t>
        </is>
      </c>
      <c r="B419" s="16">
        <v>46037</v>
      </c>
      <c r="C419" s="0" t="inlineStr">
        <is>
          <t xml:space="preserve">uk</t>
        </is>
      </c>
      <c r="D419" s="0" t="inlineStr">
        <is>
          <t xml:space="preserve">marketing</t>
        </is>
      </c>
      <c r="E419" s="0" t="inlineStr">
        <is>
          <t xml:space="preserve">marketing_programs</t>
        </is>
      </c>
      <c r="F419" s="4">
        <v>-50087</v>
      </c>
      <c r="G419" s="0" t="str">
        <f>"jan26"</f>
        <v>jan26</v>
      </c>
    </row>
    <row r="420">
      <c r="A420" s="0" t="inlineStr">
        <is>
          <t xml:space="preserve">j00419</t>
        </is>
      </c>
      <c r="B420" s="16">
        <v>46050</v>
      </c>
      <c r="C420" s="0" t="inlineStr">
        <is>
          <t xml:space="preserve">uk</t>
        </is>
      </c>
      <c r="D420" s="0" t="inlineStr">
        <is>
          <t xml:space="preserve">marketing</t>
        </is>
      </c>
      <c r="E420" s="0" t="inlineStr">
        <is>
          <t xml:space="preserve">marketing_programs</t>
        </is>
      </c>
      <c r="F420" s="4">
        <v>-35873</v>
      </c>
      <c r="G420" s="0" t="str">
        <f>"jan26"</f>
        <v>jan26</v>
      </c>
    </row>
    <row r="421">
      <c r="A421" s="0" t="inlineStr">
        <is>
          <t xml:space="preserve">j00420</t>
        </is>
      </c>
      <c r="B421" s="16">
        <v>46034</v>
      </c>
      <c r="C421" s="0" t="inlineStr">
        <is>
          <t xml:space="preserve">uk</t>
        </is>
      </c>
      <c r="D421" s="0" t="inlineStr">
        <is>
          <t xml:space="preserve">marketing</t>
        </is>
      </c>
      <c r="E421" s="0" t="inlineStr">
        <is>
          <t xml:space="preserve">marketing_programs</t>
        </is>
      </c>
      <c r="F421" s="4">
        <v>-62499</v>
      </c>
      <c r="G421" s="0" t="str">
        <f>"jan26"</f>
        <v>jan26</v>
      </c>
    </row>
    <row r="422">
      <c r="A422" s="0" t="inlineStr">
        <is>
          <t xml:space="preserve">j00421</t>
        </is>
      </c>
      <c r="B422" s="16">
        <v>46042</v>
      </c>
      <c r="C422" s="0" t="inlineStr">
        <is>
          <t xml:space="preserve">uk</t>
        </is>
      </c>
      <c r="D422" s="0" t="inlineStr">
        <is>
          <t xml:space="preserve">engineering</t>
        </is>
      </c>
      <c r="E422" s="0" t="inlineStr">
        <is>
          <t xml:space="preserve">cloud</t>
        </is>
      </c>
      <c r="F422" s="4">
        <v>-55982</v>
      </c>
      <c r="G422" s="0" t="str">
        <f>"jan26"</f>
        <v>jan26</v>
      </c>
    </row>
    <row r="423">
      <c r="A423" s="0" t="inlineStr">
        <is>
          <t xml:space="preserve">j00422</t>
        </is>
      </c>
      <c r="B423" s="16">
        <v>46042</v>
      </c>
      <c r="C423" s="0" t="inlineStr">
        <is>
          <t xml:space="preserve">uk</t>
        </is>
      </c>
      <c r="D423" s="0" t="inlineStr">
        <is>
          <t xml:space="preserve">engineering</t>
        </is>
      </c>
      <c r="E423" s="0" t="inlineStr">
        <is>
          <t xml:space="preserve">cloud</t>
        </is>
      </c>
      <c r="F423" s="4">
        <v>-20308</v>
      </c>
      <c r="G423" s="0" t="str">
        <f>"jan26"</f>
        <v>jan26</v>
      </c>
    </row>
    <row r="424">
      <c r="A424" s="0" t="inlineStr">
        <is>
          <t xml:space="preserve">j00423</t>
        </is>
      </c>
      <c r="B424" s="16">
        <v>46042</v>
      </c>
      <c r="C424" s="0" t="inlineStr">
        <is>
          <t xml:space="preserve">uk</t>
        </is>
      </c>
      <c r="D424" s="0" t="inlineStr">
        <is>
          <t xml:space="preserve">engineering</t>
        </is>
      </c>
      <c r="E424" s="0" t="inlineStr">
        <is>
          <t xml:space="preserve">cloud</t>
        </is>
      </c>
      <c r="F424" s="4">
        <v>-69747</v>
      </c>
      <c r="G424" s="0" t="str">
        <f>"jan26"</f>
        <v>jan26</v>
      </c>
    </row>
    <row r="425">
      <c r="A425" s="0" t="inlineStr">
        <is>
          <t xml:space="preserve">j00424</t>
        </is>
      </c>
      <c r="B425" s="16">
        <v>46058</v>
      </c>
      <c r="C425" s="0" t="inlineStr">
        <is>
          <t xml:space="preserve">uk</t>
        </is>
      </c>
      <c r="D425" s="0" t="inlineStr">
        <is>
          <t xml:space="preserve">company</t>
        </is>
      </c>
      <c r="E425" s="0" t="inlineStr">
        <is>
          <t xml:space="preserve">revenue</t>
        </is>
      </c>
      <c r="F425" s="4">
        <v>1721315</v>
      </c>
      <c r="G425" s="0" t="str">
        <f>"feb26"</f>
        <v>feb26</v>
      </c>
    </row>
    <row r="426">
      <c r="A426" s="0" t="inlineStr">
        <is>
          <t xml:space="preserve">j00425</t>
        </is>
      </c>
      <c r="B426" s="16">
        <v>46073</v>
      </c>
      <c r="C426" s="0" t="inlineStr">
        <is>
          <t xml:space="preserve">uk</t>
        </is>
      </c>
      <c r="D426" s="0" t="inlineStr">
        <is>
          <t xml:space="preserve">company</t>
        </is>
      </c>
      <c r="E426" s="0" t="inlineStr">
        <is>
          <t xml:space="preserve">cogs_hosting</t>
        </is>
      </c>
      <c r="F426" s="4">
        <v>-112920</v>
      </c>
      <c r="G426" s="0" t="str">
        <f>"feb26"</f>
        <v>feb26</v>
      </c>
    </row>
    <row r="427">
      <c r="A427" s="0" t="inlineStr">
        <is>
          <t xml:space="preserve">j00426</t>
        </is>
      </c>
      <c r="B427" s="16">
        <v>46081</v>
      </c>
      <c r="C427" s="0" t="inlineStr">
        <is>
          <t xml:space="preserve">uk</t>
        </is>
      </c>
      <c r="D427" s="0" t="inlineStr">
        <is>
          <t xml:space="preserve">company</t>
        </is>
      </c>
      <c r="E427" s="0" t="inlineStr">
        <is>
          <t xml:space="preserve">cogs_hosting</t>
        </is>
      </c>
      <c r="F427" s="4">
        <v>-88160</v>
      </c>
      <c r="G427" s="0" t="str">
        <f>"feb26"</f>
        <v>feb26</v>
      </c>
    </row>
    <row r="428">
      <c r="A428" s="0" t="inlineStr">
        <is>
          <t xml:space="preserve">j00427</t>
        </is>
      </c>
      <c r="B428" s="16">
        <v>46058</v>
      </c>
      <c r="C428" s="0" t="inlineStr">
        <is>
          <t xml:space="preserve">uk</t>
        </is>
      </c>
      <c r="D428" s="0" t="inlineStr">
        <is>
          <t xml:space="preserve">company</t>
        </is>
      </c>
      <c r="E428" s="0" t="inlineStr">
        <is>
          <t xml:space="preserve">cogs_support</t>
        </is>
      </c>
      <c r="F428" s="4">
        <v>-44855</v>
      </c>
      <c r="G428" s="0" t="str">
        <f>"feb26"</f>
        <v>feb26</v>
      </c>
    </row>
    <row r="429">
      <c r="A429" s="0" t="inlineStr">
        <is>
          <t xml:space="preserve">j00428</t>
        </is>
      </c>
      <c r="B429" s="16">
        <v>46058</v>
      </c>
      <c r="C429" s="0" t="inlineStr">
        <is>
          <t xml:space="preserve">uk</t>
        </is>
      </c>
      <c r="D429" s="0" t="inlineStr">
        <is>
          <t xml:space="preserve">company</t>
        </is>
      </c>
      <c r="E429" s="0" t="inlineStr">
        <is>
          <t xml:space="preserve">cogs_support</t>
        </is>
      </c>
      <c r="F429" s="4">
        <v>-41765</v>
      </c>
      <c r="G429" s="0" t="str">
        <f>"feb26"</f>
        <v>feb26</v>
      </c>
    </row>
    <row r="430">
      <c r="A430" s="0" t="inlineStr">
        <is>
          <t xml:space="preserve">j00429</t>
        </is>
      </c>
      <c r="B430" s="16">
        <v>46078</v>
      </c>
      <c r="C430" s="0" t="inlineStr">
        <is>
          <t xml:space="preserve">uk</t>
        </is>
      </c>
      <c r="D430" s="0" t="inlineStr">
        <is>
          <t xml:space="preserve">sales</t>
        </is>
      </c>
      <c r="E430" s="0" t="inlineStr">
        <is>
          <t xml:space="preserve">salaries</t>
        </is>
      </c>
      <c r="F430" s="4">
        <v>-102751</v>
      </c>
      <c r="G430" s="0" t="str">
        <f>"feb26"</f>
        <v>feb26</v>
      </c>
    </row>
    <row r="431">
      <c r="A431" s="0" t="inlineStr">
        <is>
          <t xml:space="preserve">j00430</t>
        </is>
      </c>
      <c r="B431" s="16">
        <v>46058</v>
      </c>
      <c r="C431" s="0" t="inlineStr">
        <is>
          <t xml:space="preserve">uk</t>
        </is>
      </c>
      <c r="D431" s="0" t="inlineStr">
        <is>
          <t xml:space="preserve">sales</t>
        </is>
      </c>
      <c r="E431" s="0" t="inlineStr">
        <is>
          <t xml:space="preserve">benefits</t>
        </is>
      </c>
      <c r="F431" s="4">
        <v>-21722</v>
      </c>
      <c r="G431" s="0" t="str">
        <f>"feb26"</f>
        <v>feb26</v>
      </c>
    </row>
    <row r="432">
      <c r="A432" s="0" t="inlineStr">
        <is>
          <t xml:space="preserve">j00431</t>
        </is>
      </c>
      <c r="B432" s="16">
        <v>46081</v>
      </c>
      <c r="C432" s="0" t="inlineStr">
        <is>
          <t xml:space="preserve">uk</t>
        </is>
      </c>
      <c r="D432" s="0" t="inlineStr">
        <is>
          <t xml:space="preserve">sales</t>
        </is>
      </c>
      <c r="E432" s="0" t="inlineStr">
        <is>
          <t xml:space="preserve">travel</t>
        </is>
      </c>
      <c r="F432" s="4">
        <v>-11438</v>
      </c>
      <c r="G432" s="0" t="str">
        <f>"feb26"</f>
        <v>feb26</v>
      </c>
    </row>
    <row r="433">
      <c r="A433" s="0" t="inlineStr">
        <is>
          <t xml:space="preserve">j00432</t>
        </is>
      </c>
      <c r="B433" s="16">
        <v>46065</v>
      </c>
      <c r="C433" s="0" t="inlineStr">
        <is>
          <t xml:space="preserve">uk</t>
        </is>
      </c>
      <c r="D433" s="0" t="inlineStr">
        <is>
          <t xml:space="preserve">sales</t>
        </is>
      </c>
      <c r="E433" s="0" t="inlineStr">
        <is>
          <t xml:space="preserve">travel</t>
        </is>
      </c>
      <c r="F433" s="4">
        <v>-5122</v>
      </c>
      <c r="G433" s="0" t="str">
        <f>"feb26"</f>
        <v>feb26</v>
      </c>
    </row>
    <row r="434">
      <c r="A434" s="0" t="inlineStr">
        <is>
          <t xml:space="preserve">j00433</t>
        </is>
      </c>
      <c r="B434" s="16">
        <v>46081</v>
      </c>
      <c r="C434" s="0" t="inlineStr">
        <is>
          <t xml:space="preserve">uk</t>
        </is>
      </c>
      <c r="D434" s="0" t="inlineStr">
        <is>
          <t xml:space="preserve">sales</t>
        </is>
      </c>
      <c r="E434" s="0" t="inlineStr">
        <is>
          <t xml:space="preserve">software</t>
        </is>
      </c>
      <c r="F434" s="4">
        <v>-2586</v>
      </c>
      <c r="G434" s="0" t="str">
        <f>"feb26"</f>
        <v>feb26</v>
      </c>
    </row>
    <row r="435">
      <c r="A435" s="0" t="inlineStr">
        <is>
          <t xml:space="preserve">j00434</t>
        </is>
      </c>
      <c r="B435" s="16">
        <v>46058</v>
      </c>
      <c r="C435" s="0" t="inlineStr">
        <is>
          <t xml:space="preserve">uk</t>
        </is>
      </c>
      <c r="D435" s="0" t="inlineStr">
        <is>
          <t xml:space="preserve">sales</t>
        </is>
      </c>
      <c r="E435" s="0" t="inlineStr">
        <is>
          <t xml:space="preserve">software</t>
        </is>
      </c>
      <c r="F435" s="4">
        <v>-1267</v>
      </c>
      <c r="G435" s="0" t="str">
        <f>"feb26"</f>
        <v>feb26</v>
      </c>
    </row>
    <row r="436">
      <c r="A436" s="0" t="inlineStr">
        <is>
          <t xml:space="preserve">j00435</t>
        </is>
      </c>
      <c r="B436" s="16">
        <v>46078</v>
      </c>
      <c r="C436" s="0" t="inlineStr">
        <is>
          <t xml:space="preserve">uk</t>
        </is>
      </c>
      <c r="D436" s="0" t="inlineStr">
        <is>
          <t xml:space="preserve">marketing</t>
        </is>
      </c>
      <c r="E436" s="0" t="inlineStr">
        <is>
          <t xml:space="preserve">salaries</t>
        </is>
      </c>
      <c r="F436" s="4">
        <v>-41127</v>
      </c>
      <c r="G436" s="0" t="str">
        <f>"feb26"</f>
        <v>feb26</v>
      </c>
    </row>
    <row r="437">
      <c r="A437" s="0" t="inlineStr">
        <is>
          <t xml:space="preserve">j00436</t>
        </is>
      </c>
      <c r="B437" s="16">
        <v>46065</v>
      </c>
      <c r="C437" s="0" t="inlineStr">
        <is>
          <t xml:space="preserve">uk</t>
        </is>
      </c>
      <c r="D437" s="0" t="inlineStr">
        <is>
          <t xml:space="preserve">marketing</t>
        </is>
      </c>
      <c r="E437" s="0" t="inlineStr">
        <is>
          <t xml:space="preserve">benefits</t>
        </is>
      </c>
      <c r="F437" s="4">
        <v>-8115</v>
      </c>
      <c r="G437" s="0" t="str">
        <f>"feb26"</f>
        <v>feb26</v>
      </c>
    </row>
    <row r="438">
      <c r="A438" s="0" t="inlineStr">
        <is>
          <t xml:space="preserve">j00437</t>
        </is>
      </c>
      <c r="B438" s="16">
        <v>46058</v>
      </c>
      <c r="C438" s="0" t="inlineStr">
        <is>
          <t xml:space="preserve">uk</t>
        </is>
      </c>
      <c r="D438" s="0" t="inlineStr">
        <is>
          <t xml:space="preserve">marketing</t>
        </is>
      </c>
      <c r="E438" s="0" t="inlineStr">
        <is>
          <t xml:space="preserve">software</t>
        </is>
      </c>
      <c r="F438" s="4">
        <v>-2064</v>
      </c>
      <c r="G438" s="0" t="str">
        <f>"feb26"</f>
        <v>feb26</v>
      </c>
    </row>
    <row r="439">
      <c r="A439" s="0" t="inlineStr">
        <is>
          <t xml:space="preserve">j00438</t>
        </is>
      </c>
      <c r="B439" s="16">
        <v>46073</v>
      </c>
      <c r="C439" s="0" t="inlineStr">
        <is>
          <t xml:space="preserve">uk</t>
        </is>
      </c>
      <c r="D439" s="0" t="inlineStr">
        <is>
          <t xml:space="preserve">marketing</t>
        </is>
      </c>
      <c r="E439" s="0" t="inlineStr">
        <is>
          <t xml:space="preserve">software</t>
        </is>
      </c>
      <c r="F439" s="4">
        <v>-3913</v>
      </c>
      <c r="G439" s="0" t="str">
        <f>"feb26"</f>
        <v>feb26</v>
      </c>
    </row>
    <row r="440">
      <c r="A440" s="0" t="inlineStr">
        <is>
          <t xml:space="preserve">j00439</t>
        </is>
      </c>
      <c r="B440" s="16">
        <v>46068</v>
      </c>
      <c r="C440" s="0" t="inlineStr">
        <is>
          <t xml:space="preserve">uk</t>
        </is>
      </c>
      <c r="D440" s="0" t="inlineStr">
        <is>
          <t xml:space="preserve">marketing</t>
        </is>
      </c>
      <c r="E440" s="0" t="inlineStr">
        <is>
          <t xml:space="preserve">travel</t>
        </is>
      </c>
      <c r="F440" s="4">
        <v>-1604</v>
      </c>
      <c r="G440" s="0" t="str">
        <f>"feb26"</f>
        <v>feb26</v>
      </c>
    </row>
    <row r="441">
      <c r="A441" s="0" t="inlineStr">
        <is>
          <t xml:space="preserve">j00440</t>
        </is>
      </c>
      <c r="B441" s="16">
        <v>46073</v>
      </c>
      <c r="C441" s="0" t="inlineStr">
        <is>
          <t xml:space="preserve">uk</t>
        </is>
      </c>
      <c r="D441" s="0" t="inlineStr">
        <is>
          <t xml:space="preserve">marketing</t>
        </is>
      </c>
      <c r="E441" s="0" t="inlineStr">
        <is>
          <t xml:space="preserve">travel</t>
        </is>
      </c>
      <c r="F441" s="4">
        <v>-3463</v>
      </c>
      <c r="G441" s="0" t="str">
        <f>"feb26"</f>
        <v>feb26</v>
      </c>
    </row>
    <row r="442">
      <c r="A442" s="0" t="inlineStr">
        <is>
          <t xml:space="preserve">j00441</t>
        </is>
      </c>
      <c r="B442" s="16">
        <v>46078</v>
      </c>
      <c r="C442" s="0" t="inlineStr">
        <is>
          <t xml:space="preserve">uk</t>
        </is>
      </c>
      <c r="D442" s="0" t="inlineStr">
        <is>
          <t xml:space="preserve">engineering</t>
        </is>
      </c>
      <c r="E442" s="0" t="inlineStr">
        <is>
          <t xml:space="preserve">salaries</t>
        </is>
      </c>
      <c r="F442" s="4">
        <v>-245903</v>
      </c>
      <c r="G442" s="0" t="str">
        <f>"feb26"</f>
        <v>feb26</v>
      </c>
    </row>
    <row r="443">
      <c r="A443" s="0" t="inlineStr">
        <is>
          <t xml:space="preserve">j00442</t>
        </is>
      </c>
      <c r="B443" s="16">
        <v>46081</v>
      </c>
      <c r="C443" s="0" t="inlineStr">
        <is>
          <t xml:space="preserve">uk</t>
        </is>
      </c>
      <c r="D443" s="0" t="inlineStr">
        <is>
          <t xml:space="preserve">engineering</t>
        </is>
      </c>
      <c r="E443" s="0" t="inlineStr">
        <is>
          <t xml:space="preserve">benefits</t>
        </is>
      </c>
      <c r="F443" s="4">
        <v>-48125</v>
      </c>
      <c r="G443" s="0" t="str">
        <f>"feb26"</f>
        <v>feb26</v>
      </c>
    </row>
    <row r="444">
      <c r="A444" s="0" t="inlineStr">
        <is>
          <t xml:space="preserve">j00443</t>
        </is>
      </c>
      <c r="B444" s="16">
        <v>46068</v>
      </c>
      <c r="C444" s="0" t="inlineStr">
        <is>
          <t xml:space="preserve">uk</t>
        </is>
      </c>
      <c r="D444" s="0" t="inlineStr">
        <is>
          <t xml:space="preserve">engineering</t>
        </is>
      </c>
      <c r="E444" s="0" t="inlineStr">
        <is>
          <t xml:space="preserve">contractors</t>
        </is>
      </c>
      <c r="F444" s="4">
        <v>-25658</v>
      </c>
      <c r="G444" s="0" t="str">
        <f>"feb26"</f>
        <v>feb26</v>
      </c>
    </row>
    <row r="445">
      <c r="A445" s="0" t="inlineStr">
        <is>
          <t xml:space="preserve">j00444</t>
        </is>
      </c>
      <c r="B445" s="16">
        <v>46068</v>
      </c>
      <c r="C445" s="0" t="inlineStr">
        <is>
          <t xml:space="preserve">uk</t>
        </is>
      </c>
      <c r="D445" s="0" t="inlineStr">
        <is>
          <t xml:space="preserve">engineering</t>
        </is>
      </c>
      <c r="E445" s="0" t="inlineStr">
        <is>
          <t xml:space="preserve">software</t>
        </is>
      </c>
      <c r="F445" s="4">
        <v>-3512</v>
      </c>
      <c r="G445" s="0" t="str">
        <f>"feb26"</f>
        <v>feb26</v>
      </c>
    </row>
    <row r="446">
      <c r="A446" s="0" t="inlineStr">
        <is>
          <t xml:space="preserve">j00445</t>
        </is>
      </c>
      <c r="B446" s="16">
        <v>46065</v>
      </c>
      <c r="C446" s="0" t="inlineStr">
        <is>
          <t xml:space="preserve">uk</t>
        </is>
      </c>
      <c r="D446" s="0" t="inlineStr">
        <is>
          <t xml:space="preserve">engineering</t>
        </is>
      </c>
      <c r="E446" s="0" t="inlineStr">
        <is>
          <t xml:space="preserve">software</t>
        </is>
      </c>
      <c r="F446" s="4">
        <v>-5546</v>
      </c>
      <c r="G446" s="0" t="str">
        <f>"feb26"</f>
        <v>feb26</v>
      </c>
    </row>
    <row r="447">
      <c r="A447" s="0" t="inlineStr">
        <is>
          <t xml:space="preserve">j00446</t>
        </is>
      </c>
      <c r="B447" s="16">
        <v>46078</v>
      </c>
      <c r="C447" s="0" t="inlineStr">
        <is>
          <t xml:space="preserve">uk</t>
        </is>
      </c>
      <c r="D447" s="0" t="inlineStr">
        <is>
          <t xml:space="preserve">customer_success</t>
        </is>
      </c>
      <c r="E447" s="0" t="inlineStr">
        <is>
          <t xml:space="preserve">salaries</t>
        </is>
      </c>
      <c r="F447" s="4">
        <v>-37833</v>
      </c>
      <c r="G447" s="0" t="str">
        <f>"feb26"</f>
        <v>feb26</v>
      </c>
    </row>
    <row r="448">
      <c r="A448" s="0" t="inlineStr">
        <is>
          <t xml:space="preserve">j00447</t>
        </is>
      </c>
      <c r="B448" s="16">
        <v>46058</v>
      </c>
      <c r="C448" s="0" t="inlineStr">
        <is>
          <t xml:space="preserve">uk</t>
        </is>
      </c>
      <c r="D448" s="0" t="inlineStr">
        <is>
          <t xml:space="preserve">customer_success</t>
        </is>
      </c>
      <c r="E448" s="0" t="inlineStr">
        <is>
          <t xml:space="preserve">benefits</t>
        </is>
      </c>
      <c r="F448" s="4">
        <v>-7782</v>
      </c>
      <c r="G448" s="0" t="str">
        <f>"feb26"</f>
        <v>feb26</v>
      </c>
    </row>
    <row r="449">
      <c r="A449" s="0" t="inlineStr">
        <is>
          <t xml:space="preserve">j00448</t>
        </is>
      </c>
      <c r="B449" s="16">
        <v>46073</v>
      </c>
      <c r="C449" s="0" t="inlineStr">
        <is>
          <t xml:space="preserve">uk</t>
        </is>
      </c>
      <c r="D449" s="0" t="inlineStr">
        <is>
          <t xml:space="preserve">customer_success</t>
        </is>
      </c>
      <c r="E449" s="0" t="inlineStr">
        <is>
          <t xml:space="preserve">software</t>
        </is>
      </c>
      <c r="F449" s="4">
        <v>-1628</v>
      </c>
      <c r="G449" s="0" t="str">
        <f>"feb26"</f>
        <v>feb26</v>
      </c>
    </row>
    <row r="450">
      <c r="A450" s="0" t="inlineStr">
        <is>
          <t xml:space="preserve">j00449</t>
        </is>
      </c>
      <c r="B450" s="16">
        <v>46058</v>
      </c>
      <c r="C450" s="0" t="inlineStr">
        <is>
          <t xml:space="preserve">uk</t>
        </is>
      </c>
      <c r="D450" s="0" t="inlineStr">
        <is>
          <t xml:space="preserve">customer_success</t>
        </is>
      </c>
      <c r="E450" s="0" t="inlineStr">
        <is>
          <t xml:space="preserve">software</t>
        </is>
      </c>
      <c r="F450" s="4">
        <v>-1498</v>
      </c>
      <c r="G450" s="0" t="str">
        <f>"feb26"</f>
        <v>feb26</v>
      </c>
    </row>
    <row r="451">
      <c r="A451" s="0" t="inlineStr">
        <is>
          <t xml:space="preserve">j00450</t>
        </is>
      </c>
      <c r="B451" s="16">
        <v>46058</v>
      </c>
      <c r="C451" s="0" t="inlineStr">
        <is>
          <t xml:space="preserve">uk</t>
        </is>
      </c>
      <c r="D451" s="0" t="inlineStr">
        <is>
          <t xml:space="preserve">customer_success</t>
        </is>
      </c>
      <c r="E451" s="0" t="inlineStr">
        <is>
          <t xml:space="preserve">travel</t>
        </is>
      </c>
      <c r="F451" s="4">
        <v>-908</v>
      </c>
      <c r="G451" s="0" t="str">
        <f>"feb26"</f>
        <v>feb26</v>
      </c>
    </row>
    <row r="452">
      <c r="A452" s="0" t="inlineStr">
        <is>
          <t xml:space="preserve">j00451</t>
        </is>
      </c>
      <c r="B452" s="16">
        <v>46058</v>
      </c>
      <c r="C452" s="0" t="inlineStr">
        <is>
          <t xml:space="preserve">uk</t>
        </is>
      </c>
      <c r="D452" s="0" t="inlineStr">
        <is>
          <t xml:space="preserve">customer_success</t>
        </is>
      </c>
      <c r="E452" s="0" t="inlineStr">
        <is>
          <t xml:space="preserve">travel</t>
        </is>
      </c>
      <c r="F452" s="4">
        <v>-715</v>
      </c>
      <c r="G452" s="0" t="str">
        <f>"feb26"</f>
        <v>feb26</v>
      </c>
    </row>
    <row r="453">
      <c r="A453" s="0" t="inlineStr">
        <is>
          <t xml:space="preserve">j00452</t>
        </is>
      </c>
      <c r="B453" s="16">
        <v>46078</v>
      </c>
      <c r="C453" s="0" t="inlineStr">
        <is>
          <t xml:space="preserve">uk</t>
        </is>
      </c>
      <c r="D453" s="0" t="inlineStr">
        <is>
          <t xml:space="preserve">g_and_a</t>
        </is>
      </c>
      <c r="E453" s="0" t="inlineStr">
        <is>
          <t xml:space="preserve">salaries</t>
        </is>
      </c>
      <c r="F453" s="4">
        <v>-42732</v>
      </c>
      <c r="G453" s="0" t="str">
        <f>"feb26"</f>
        <v>feb26</v>
      </c>
    </row>
    <row r="454">
      <c r="A454" s="0" t="inlineStr">
        <is>
          <t xml:space="preserve">j00453</t>
        </is>
      </c>
      <c r="B454" s="16">
        <v>46081</v>
      </c>
      <c r="C454" s="0" t="inlineStr">
        <is>
          <t xml:space="preserve">uk</t>
        </is>
      </c>
      <c r="D454" s="0" t="inlineStr">
        <is>
          <t xml:space="preserve">g_and_a</t>
        </is>
      </c>
      <c r="E454" s="0" t="inlineStr">
        <is>
          <t xml:space="preserve">benefits</t>
        </is>
      </c>
      <c r="F454" s="4">
        <v>-8281</v>
      </c>
      <c r="G454" s="0" t="str">
        <f>"feb26"</f>
        <v>feb26</v>
      </c>
    </row>
    <row r="455">
      <c r="A455" s="0" t="inlineStr">
        <is>
          <t xml:space="preserve">j00454</t>
        </is>
      </c>
      <c r="B455" s="16">
        <v>46068</v>
      </c>
      <c r="C455" s="0" t="inlineStr">
        <is>
          <t xml:space="preserve">uk</t>
        </is>
      </c>
      <c r="D455" s="0" t="inlineStr">
        <is>
          <t xml:space="preserve">g_and_a</t>
        </is>
      </c>
      <c r="E455" s="0" t="inlineStr">
        <is>
          <t xml:space="preserve">rent</t>
        </is>
      </c>
      <c r="F455" s="4">
        <v>-38722</v>
      </c>
      <c r="G455" s="0" t="str">
        <f>"feb26"</f>
        <v>feb26</v>
      </c>
    </row>
    <row r="456">
      <c r="A456" s="0" t="inlineStr">
        <is>
          <t xml:space="preserve">j00455</t>
        </is>
      </c>
      <c r="B456" s="16">
        <v>46081</v>
      </c>
      <c r="C456" s="0" t="inlineStr">
        <is>
          <t xml:space="preserve">uk</t>
        </is>
      </c>
      <c r="D456" s="0" t="inlineStr">
        <is>
          <t xml:space="preserve">g_and_a</t>
        </is>
      </c>
      <c r="E456" s="0" t="inlineStr">
        <is>
          <t xml:space="preserve">professional_fees</t>
        </is>
      </c>
      <c r="F456" s="4">
        <v>-4843</v>
      </c>
      <c r="G456" s="0" t="str">
        <f>"feb26"</f>
        <v>feb26</v>
      </c>
    </row>
    <row r="457">
      <c r="A457" s="0" t="inlineStr">
        <is>
          <t xml:space="preserve">j00456</t>
        </is>
      </c>
      <c r="B457" s="16">
        <v>46073</v>
      </c>
      <c r="C457" s="0" t="inlineStr">
        <is>
          <t xml:space="preserve">uk</t>
        </is>
      </c>
      <c r="D457" s="0" t="inlineStr">
        <is>
          <t xml:space="preserve">g_and_a</t>
        </is>
      </c>
      <c r="E457" s="0" t="inlineStr">
        <is>
          <t xml:space="preserve">professional_fees</t>
        </is>
      </c>
      <c r="F457" s="4">
        <v>-9825</v>
      </c>
      <c r="G457" s="0" t="str">
        <f>"feb26"</f>
        <v>feb26</v>
      </c>
    </row>
    <row r="458">
      <c r="A458" s="0" t="inlineStr">
        <is>
          <t xml:space="preserve">j00457</t>
        </is>
      </c>
      <c r="B458" s="16">
        <v>46058</v>
      </c>
      <c r="C458" s="0" t="inlineStr">
        <is>
          <t xml:space="preserve">uk</t>
        </is>
      </c>
      <c r="D458" s="0" t="inlineStr">
        <is>
          <t xml:space="preserve">g_and_a</t>
        </is>
      </c>
      <c r="E458" s="0" t="inlineStr">
        <is>
          <t xml:space="preserve">software</t>
        </is>
      </c>
      <c r="F458" s="4">
        <v>-2379</v>
      </c>
      <c r="G458" s="0" t="str">
        <f>"feb26"</f>
        <v>feb26</v>
      </c>
    </row>
    <row r="459">
      <c r="A459" s="0" t="inlineStr">
        <is>
          <t xml:space="preserve">j00458</t>
        </is>
      </c>
      <c r="B459" s="16">
        <v>46068</v>
      </c>
      <c r="C459" s="0" t="inlineStr">
        <is>
          <t xml:space="preserve">uk</t>
        </is>
      </c>
      <c r="D459" s="0" t="inlineStr">
        <is>
          <t xml:space="preserve">g_and_a</t>
        </is>
      </c>
      <c r="E459" s="0" t="inlineStr">
        <is>
          <t xml:space="preserve">software</t>
        </is>
      </c>
      <c r="F459" s="4">
        <v>-2591</v>
      </c>
      <c r="G459" s="0" t="str">
        <f>"feb26"</f>
        <v>feb26</v>
      </c>
    </row>
    <row r="460">
      <c r="A460" s="0" t="inlineStr">
        <is>
          <t xml:space="preserve">j00459</t>
        </is>
      </c>
      <c r="B460" s="16">
        <v>46068</v>
      </c>
      <c r="C460" s="0" t="inlineStr">
        <is>
          <t xml:space="preserve">uk</t>
        </is>
      </c>
      <c r="D460" s="0" t="inlineStr">
        <is>
          <t xml:space="preserve">g_and_a</t>
        </is>
      </c>
      <c r="E460" s="0" t="inlineStr">
        <is>
          <t xml:space="preserve">travel</t>
        </is>
      </c>
      <c r="F460" s="4">
        <v>-1180</v>
      </c>
      <c r="G460" s="0" t="str">
        <f>"feb26"</f>
        <v>feb26</v>
      </c>
    </row>
    <row r="461">
      <c r="A461" s="0" t="inlineStr">
        <is>
          <t xml:space="preserve">j00460</t>
        </is>
      </c>
      <c r="B461" s="16">
        <v>46068</v>
      </c>
      <c r="C461" s="0" t="inlineStr">
        <is>
          <t xml:space="preserve">uk</t>
        </is>
      </c>
      <c r="D461" s="0" t="inlineStr">
        <is>
          <t xml:space="preserve">g_and_a</t>
        </is>
      </c>
      <c r="E461" s="0" t="inlineStr">
        <is>
          <t xml:space="preserve">travel</t>
        </is>
      </c>
      <c r="F461" s="4">
        <v>-752</v>
      </c>
      <c r="G461" s="0" t="str">
        <f>"feb26"</f>
        <v>feb26</v>
      </c>
    </row>
    <row r="462">
      <c r="A462" s="0" t="inlineStr">
        <is>
          <t xml:space="preserve">j00461</t>
        </is>
      </c>
      <c r="B462" s="16">
        <v>46065</v>
      </c>
      <c r="C462" s="0" t="inlineStr">
        <is>
          <t xml:space="preserve">uk</t>
        </is>
      </c>
      <c r="D462" s="0" t="inlineStr">
        <is>
          <t xml:space="preserve">g_and_a</t>
        </is>
      </c>
      <c r="E462" s="0" t="inlineStr">
        <is>
          <t xml:space="preserve">travel</t>
        </is>
      </c>
      <c r="F462" s="4">
        <v>-695</v>
      </c>
      <c r="G462" s="0" t="str">
        <f>"feb26"</f>
        <v>feb26</v>
      </c>
    </row>
    <row r="463">
      <c r="A463" s="0" t="inlineStr">
        <is>
          <t xml:space="preserve">j00462</t>
        </is>
      </c>
      <c r="B463" s="16">
        <v>46073</v>
      </c>
      <c r="C463" s="0" t="inlineStr">
        <is>
          <t xml:space="preserve">uk</t>
        </is>
      </c>
      <c r="D463" s="0" t="inlineStr">
        <is>
          <t xml:space="preserve">sales</t>
        </is>
      </c>
      <c r="E463" s="0" t="inlineStr">
        <is>
          <t xml:space="preserve">commissions</t>
        </is>
      </c>
      <c r="F463" s="4">
        <v>-39413</v>
      </c>
      <c r="G463" s="0" t="str">
        <f>"feb26"</f>
        <v>feb26</v>
      </c>
    </row>
    <row r="464">
      <c r="A464" s="0" t="inlineStr">
        <is>
          <t xml:space="preserve">j00463</t>
        </is>
      </c>
      <c r="B464" s="16">
        <v>46081</v>
      </c>
      <c r="C464" s="0" t="inlineStr">
        <is>
          <t xml:space="preserve">uk</t>
        </is>
      </c>
      <c r="D464" s="0" t="inlineStr">
        <is>
          <t xml:space="preserve">sales</t>
        </is>
      </c>
      <c r="E464" s="0" t="inlineStr">
        <is>
          <t xml:space="preserve">commissions</t>
        </is>
      </c>
      <c r="F464" s="4">
        <v>-38028</v>
      </c>
      <c r="G464" s="0" t="str">
        <f>"feb26"</f>
        <v>feb26</v>
      </c>
    </row>
    <row r="465">
      <c r="A465" s="0" t="inlineStr">
        <is>
          <t xml:space="preserve">j00464</t>
        </is>
      </c>
      <c r="B465" s="16">
        <v>46058</v>
      </c>
      <c r="C465" s="0" t="inlineStr">
        <is>
          <t xml:space="preserve">uk</t>
        </is>
      </c>
      <c r="D465" s="0" t="inlineStr">
        <is>
          <t xml:space="preserve">marketing</t>
        </is>
      </c>
      <c r="E465" s="0" t="inlineStr">
        <is>
          <t xml:space="preserve">marketing_programs</t>
        </is>
      </c>
      <c r="F465" s="4">
        <v>-146374</v>
      </c>
      <c r="G465" s="0" t="str">
        <f>"feb26"</f>
        <v>feb26</v>
      </c>
    </row>
    <row r="466">
      <c r="A466" s="0" t="inlineStr">
        <is>
          <t xml:space="preserve">j00465</t>
        </is>
      </c>
      <c r="B466" s="16">
        <v>46073</v>
      </c>
      <c r="C466" s="0" t="inlineStr">
        <is>
          <t xml:space="preserve">uk</t>
        </is>
      </c>
      <c r="D466" s="0" t="inlineStr">
        <is>
          <t xml:space="preserve">engineering</t>
        </is>
      </c>
      <c r="E466" s="0" t="inlineStr">
        <is>
          <t xml:space="preserve">cloud</t>
        </is>
      </c>
      <c r="F466" s="4">
        <v>-152482</v>
      </c>
      <c r="G466" s="0" t="str">
        <f>"feb26"</f>
        <v>feb26</v>
      </c>
    </row>
    <row r="467">
      <c r="A467" s="0" t="inlineStr">
        <is>
          <t xml:space="preserve">j00466</t>
        </is>
      </c>
      <c r="B467" s="16">
        <v>46093</v>
      </c>
      <c r="C467" s="0" t="inlineStr">
        <is>
          <t xml:space="preserve">uk</t>
        </is>
      </c>
      <c r="D467" s="0" t="inlineStr">
        <is>
          <t xml:space="preserve">company</t>
        </is>
      </c>
      <c r="E467" s="0" t="inlineStr">
        <is>
          <t xml:space="preserve">revenue</t>
        </is>
      </c>
      <c r="F467" s="4">
        <v>1237583</v>
      </c>
      <c r="G467" s="0" t="str">
        <f>"mar26"</f>
        <v>mar26</v>
      </c>
    </row>
    <row r="468">
      <c r="A468" s="0" t="inlineStr">
        <is>
          <t xml:space="preserve">j00467</t>
        </is>
      </c>
      <c r="B468" s="16">
        <v>46101</v>
      </c>
      <c r="C468" s="0" t="inlineStr">
        <is>
          <t xml:space="preserve">uk</t>
        </is>
      </c>
      <c r="D468" s="0" t="inlineStr">
        <is>
          <t xml:space="preserve">company</t>
        </is>
      </c>
      <c r="E468" s="0" t="inlineStr">
        <is>
          <t xml:space="preserve">revenue</t>
        </is>
      </c>
      <c r="F468" s="4">
        <v>555304</v>
      </c>
      <c r="G468" s="0" t="str">
        <f>"mar26"</f>
        <v>mar26</v>
      </c>
    </row>
    <row r="469">
      <c r="A469" s="0" t="inlineStr">
        <is>
          <t xml:space="preserve">j00468</t>
        </is>
      </c>
      <c r="B469" s="16">
        <v>46093</v>
      </c>
      <c r="C469" s="0" t="inlineStr">
        <is>
          <t xml:space="preserve">uk</t>
        </is>
      </c>
      <c r="D469" s="0" t="inlineStr">
        <is>
          <t xml:space="preserve">company</t>
        </is>
      </c>
      <c r="E469" s="0" t="inlineStr">
        <is>
          <t xml:space="preserve">cogs_hosting</t>
        </is>
      </c>
      <c r="F469" s="4">
        <v>-142780</v>
      </c>
      <c r="G469" s="0" t="str">
        <f>"mar26"</f>
        <v>mar26</v>
      </c>
    </row>
    <row r="470">
      <c r="A470" s="0" t="inlineStr">
        <is>
          <t xml:space="preserve">j00469</t>
        </is>
      </c>
      <c r="B470" s="16">
        <v>46101</v>
      </c>
      <c r="C470" s="0" t="inlineStr">
        <is>
          <t xml:space="preserve">uk</t>
        </is>
      </c>
      <c r="D470" s="0" t="inlineStr">
        <is>
          <t xml:space="preserve">company</t>
        </is>
      </c>
      <c r="E470" s="0" t="inlineStr">
        <is>
          <t xml:space="preserve">cogs_hosting</t>
        </is>
      </c>
      <c r="F470" s="4">
        <v>-87338</v>
      </c>
      <c r="G470" s="0" t="str">
        <f>"mar26"</f>
        <v>mar26</v>
      </c>
    </row>
    <row r="471">
      <c r="A471" s="0" t="inlineStr">
        <is>
          <t xml:space="preserve">j00470</t>
        </is>
      </c>
      <c r="B471" s="16">
        <v>46109</v>
      </c>
      <c r="C471" s="0" t="inlineStr">
        <is>
          <t xml:space="preserve">uk</t>
        </is>
      </c>
      <c r="D471" s="0" t="inlineStr">
        <is>
          <t xml:space="preserve">company</t>
        </is>
      </c>
      <c r="E471" s="0" t="inlineStr">
        <is>
          <t xml:space="preserve">cogs_support</t>
        </is>
      </c>
      <c r="F471" s="4">
        <v>-95686</v>
      </c>
      <c r="G471" s="0" t="str">
        <f>"mar26"</f>
        <v>mar26</v>
      </c>
    </row>
    <row r="472">
      <c r="A472" s="0" t="inlineStr">
        <is>
          <t xml:space="preserve">j00471</t>
        </is>
      </c>
      <c r="B472" s="16">
        <v>46106</v>
      </c>
      <c r="C472" s="0" t="inlineStr">
        <is>
          <t xml:space="preserve">uk</t>
        </is>
      </c>
      <c r="D472" s="0" t="inlineStr">
        <is>
          <t xml:space="preserve">sales</t>
        </is>
      </c>
      <c r="E472" s="0" t="inlineStr">
        <is>
          <t xml:space="preserve">salaries</t>
        </is>
      </c>
      <c r="F472" s="4">
        <v>-104991</v>
      </c>
      <c r="G472" s="0" t="str">
        <f>"mar26"</f>
        <v>mar26</v>
      </c>
    </row>
    <row r="473">
      <c r="A473" s="0" t="inlineStr">
        <is>
          <t xml:space="preserve">j00472</t>
        </is>
      </c>
      <c r="B473" s="16">
        <v>46093</v>
      </c>
      <c r="C473" s="0" t="inlineStr">
        <is>
          <t xml:space="preserve">uk</t>
        </is>
      </c>
      <c r="D473" s="0" t="inlineStr">
        <is>
          <t xml:space="preserve">sales</t>
        </is>
      </c>
      <c r="E473" s="0" t="inlineStr">
        <is>
          <t xml:space="preserve">benefits</t>
        </is>
      </c>
      <c r="F473" s="4">
        <v>-23672</v>
      </c>
      <c r="G473" s="0" t="str">
        <f>"mar26"</f>
        <v>mar26</v>
      </c>
    </row>
    <row r="474">
      <c r="A474" s="0" t="inlineStr">
        <is>
          <t xml:space="preserve">j00473</t>
        </is>
      </c>
      <c r="B474" s="16">
        <v>46096</v>
      </c>
      <c r="C474" s="0" t="inlineStr">
        <is>
          <t xml:space="preserve">uk</t>
        </is>
      </c>
      <c r="D474" s="0" t="inlineStr">
        <is>
          <t xml:space="preserve">sales</t>
        </is>
      </c>
      <c r="E474" s="0" t="inlineStr">
        <is>
          <t xml:space="preserve">travel</t>
        </is>
      </c>
      <c r="F474" s="4">
        <v>-11099</v>
      </c>
      <c r="G474" s="0" t="str">
        <f>"mar26"</f>
        <v>mar26</v>
      </c>
    </row>
    <row r="475">
      <c r="A475" s="0" t="inlineStr">
        <is>
          <t xml:space="preserve">j00474</t>
        </is>
      </c>
      <c r="B475" s="16">
        <v>46101</v>
      </c>
      <c r="C475" s="0" t="inlineStr">
        <is>
          <t xml:space="preserve">uk</t>
        </is>
      </c>
      <c r="D475" s="0" t="inlineStr">
        <is>
          <t xml:space="preserve">sales</t>
        </is>
      </c>
      <c r="E475" s="0" t="inlineStr">
        <is>
          <t xml:space="preserve">travel</t>
        </is>
      </c>
      <c r="F475" s="4">
        <v>-6669</v>
      </c>
      <c r="G475" s="0" t="str">
        <f>"mar26"</f>
        <v>mar26</v>
      </c>
    </row>
    <row r="476">
      <c r="A476" s="0" t="inlineStr">
        <is>
          <t xml:space="preserve">j00475</t>
        </is>
      </c>
      <c r="B476" s="16">
        <v>46093</v>
      </c>
      <c r="C476" s="0" t="inlineStr">
        <is>
          <t xml:space="preserve">uk</t>
        </is>
      </c>
      <c r="D476" s="0" t="inlineStr">
        <is>
          <t xml:space="preserve">sales</t>
        </is>
      </c>
      <c r="E476" s="0" t="inlineStr">
        <is>
          <t xml:space="preserve">software</t>
        </is>
      </c>
      <c r="F476" s="4">
        <v>-800</v>
      </c>
      <c r="G476" s="0" t="str">
        <f>"mar26"</f>
        <v>mar26</v>
      </c>
    </row>
    <row r="477">
      <c r="A477" s="0" t="inlineStr">
        <is>
          <t xml:space="preserve">j00476</t>
        </is>
      </c>
      <c r="B477" s="16">
        <v>46109</v>
      </c>
      <c r="C477" s="0" t="inlineStr">
        <is>
          <t xml:space="preserve">uk</t>
        </is>
      </c>
      <c r="D477" s="0" t="inlineStr">
        <is>
          <t xml:space="preserve">sales</t>
        </is>
      </c>
      <c r="E477" s="0" t="inlineStr">
        <is>
          <t xml:space="preserve">software</t>
        </is>
      </c>
      <c r="F477" s="4">
        <v>-1112</v>
      </c>
      <c r="G477" s="0" t="str">
        <f>"mar26"</f>
        <v>mar26</v>
      </c>
    </row>
    <row r="478">
      <c r="A478" s="0" t="inlineStr">
        <is>
          <t xml:space="preserve">j00477</t>
        </is>
      </c>
      <c r="B478" s="16">
        <v>46109</v>
      </c>
      <c r="C478" s="0" t="inlineStr">
        <is>
          <t xml:space="preserve">uk</t>
        </is>
      </c>
      <c r="D478" s="0" t="inlineStr">
        <is>
          <t xml:space="preserve">sales</t>
        </is>
      </c>
      <c r="E478" s="0" t="inlineStr">
        <is>
          <t xml:space="preserve">software</t>
        </is>
      </c>
      <c r="F478" s="4">
        <v>-1835</v>
      </c>
      <c r="G478" s="0" t="str">
        <f>"mar26"</f>
        <v>mar26</v>
      </c>
    </row>
    <row r="479">
      <c r="A479" s="0" t="inlineStr">
        <is>
          <t xml:space="preserve">j00478</t>
        </is>
      </c>
      <c r="B479" s="16">
        <v>46106</v>
      </c>
      <c r="C479" s="0" t="inlineStr">
        <is>
          <t xml:space="preserve">uk</t>
        </is>
      </c>
      <c r="D479" s="0" t="inlineStr">
        <is>
          <t xml:space="preserve">marketing</t>
        </is>
      </c>
      <c r="E479" s="0" t="inlineStr">
        <is>
          <t xml:space="preserve">salaries</t>
        </is>
      </c>
      <c r="F479" s="4">
        <v>-54274</v>
      </c>
      <c r="G479" s="0" t="str">
        <f>"mar26"</f>
        <v>mar26</v>
      </c>
    </row>
    <row r="480">
      <c r="A480" s="0" t="inlineStr">
        <is>
          <t xml:space="preserve">j00479</t>
        </is>
      </c>
      <c r="B480" s="16">
        <v>46096</v>
      </c>
      <c r="C480" s="0" t="inlineStr">
        <is>
          <t xml:space="preserve">uk</t>
        </is>
      </c>
      <c r="D480" s="0" t="inlineStr">
        <is>
          <t xml:space="preserve">marketing</t>
        </is>
      </c>
      <c r="E480" s="0" t="inlineStr">
        <is>
          <t xml:space="preserve">benefits</t>
        </is>
      </c>
      <c r="F480" s="4">
        <v>-9893</v>
      </c>
      <c r="G480" s="0" t="str">
        <f>"mar26"</f>
        <v>mar26</v>
      </c>
    </row>
    <row r="481">
      <c r="A481" s="0" t="inlineStr">
        <is>
          <t xml:space="preserve">j00480</t>
        </is>
      </c>
      <c r="B481" s="16">
        <v>46096</v>
      </c>
      <c r="C481" s="0" t="inlineStr">
        <is>
          <t xml:space="preserve">uk</t>
        </is>
      </c>
      <c r="D481" s="0" t="inlineStr">
        <is>
          <t xml:space="preserve">marketing</t>
        </is>
      </c>
      <c r="E481" s="0" t="inlineStr">
        <is>
          <t xml:space="preserve">software</t>
        </is>
      </c>
      <c r="F481" s="4">
        <v>-2773</v>
      </c>
      <c r="G481" s="0" t="str">
        <f>"mar26"</f>
        <v>mar26</v>
      </c>
    </row>
    <row r="482">
      <c r="A482" s="0" t="inlineStr">
        <is>
          <t xml:space="preserve">j00481</t>
        </is>
      </c>
      <c r="B482" s="16">
        <v>46109</v>
      </c>
      <c r="C482" s="0" t="inlineStr">
        <is>
          <t xml:space="preserve">uk</t>
        </is>
      </c>
      <c r="D482" s="0" t="inlineStr">
        <is>
          <t xml:space="preserve">marketing</t>
        </is>
      </c>
      <c r="E482" s="0" t="inlineStr">
        <is>
          <t xml:space="preserve">software</t>
        </is>
      </c>
      <c r="F482" s="4">
        <v>-2976</v>
      </c>
      <c r="G482" s="0" t="str">
        <f>"mar26"</f>
        <v>mar26</v>
      </c>
    </row>
    <row r="483">
      <c r="A483" s="0" t="inlineStr">
        <is>
          <t xml:space="preserve">j00482</t>
        </is>
      </c>
      <c r="B483" s="16">
        <v>46093</v>
      </c>
      <c r="C483" s="0" t="inlineStr">
        <is>
          <t xml:space="preserve">uk</t>
        </is>
      </c>
      <c r="D483" s="0" t="inlineStr">
        <is>
          <t xml:space="preserve">marketing</t>
        </is>
      </c>
      <c r="E483" s="0" t="inlineStr">
        <is>
          <t xml:space="preserve">travel</t>
        </is>
      </c>
      <c r="F483" s="4">
        <v>-2047</v>
      </c>
      <c r="G483" s="0" t="str">
        <f>"mar26"</f>
        <v>mar26</v>
      </c>
    </row>
    <row r="484">
      <c r="A484" s="0" t="inlineStr">
        <is>
          <t xml:space="preserve">j00483</t>
        </is>
      </c>
      <c r="B484" s="16">
        <v>46093</v>
      </c>
      <c r="C484" s="0" t="inlineStr">
        <is>
          <t xml:space="preserve">uk</t>
        </is>
      </c>
      <c r="D484" s="0" t="inlineStr">
        <is>
          <t xml:space="preserve">marketing</t>
        </is>
      </c>
      <c r="E484" s="0" t="inlineStr">
        <is>
          <t xml:space="preserve">travel</t>
        </is>
      </c>
      <c r="F484" s="4">
        <v>-3198</v>
      </c>
      <c r="G484" s="0" t="str">
        <f>"mar26"</f>
        <v>mar26</v>
      </c>
    </row>
    <row r="485">
      <c r="A485" s="0" t="inlineStr">
        <is>
          <t xml:space="preserve">j00484</t>
        </is>
      </c>
      <c r="B485" s="16">
        <v>46106</v>
      </c>
      <c r="C485" s="0" t="inlineStr">
        <is>
          <t xml:space="preserve">uk</t>
        </is>
      </c>
      <c r="D485" s="0" t="inlineStr">
        <is>
          <t xml:space="preserve">engineering</t>
        </is>
      </c>
      <c r="E485" s="0" t="inlineStr">
        <is>
          <t xml:space="preserve">salaries</t>
        </is>
      </c>
      <c r="F485" s="4">
        <v>-260203</v>
      </c>
      <c r="G485" s="0" t="str">
        <f>"mar26"</f>
        <v>mar26</v>
      </c>
    </row>
    <row r="486">
      <c r="A486" s="0" t="inlineStr">
        <is>
          <t xml:space="preserve">j00485</t>
        </is>
      </c>
      <c r="B486" s="16">
        <v>46096</v>
      </c>
      <c r="C486" s="0" t="inlineStr">
        <is>
          <t xml:space="preserve">uk</t>
        </is>
      </c>
      <c r="D486" s="0" t="inlineStr">
        <is>
          <t xml:space="preserve">engineering</t>
        </is>
      </c>
      <c r="E486" s="0" t="inlineStr">
        <is>
          <t xml:space="preserve">benefits</t>
        </is>
      </c>
      <c r="F486" s="4">
        <v>-52560</v>
      </c>
      <c r="G486" s="0" t="str">
        <f>"mar26"</f>
        <v>mar26</v>
      </c>
    </row>
    <row r="487">
      <c r="A487" s="0" t="inlineStr">
        <is>
          <t xml:space="preserve">j00486</t>
        </is>
      </c>
      <c r="B487" s="16">
        <v>46096</v>
      </c>
      <c r="C487" s="0" t="inlineStr">
        <is>
          <t xml:space="preserve">uk</t>
        </is>
      </c>
      <c r="D487" s="0" t="inlineStr">
        <is>
          <t xml:space="preserve">engineering</t>
        </is>
      </c>
      <c r="E487" s="0" t="inlineStr">
        <is>
          <t xml:space="preserve">contractors</t>
        </is>
      </c>
      <c r="F487" s="4">
        <v>-13090</v>
      </c>
      <c r="G487" s="0" t="str">
        <f>"mar26"</f>
        <v>mar26</v>
      </c>
    </row>
    <row r="488">
      <c r="A488" s="0" t="inlineStr">
        <is>
          <t xml:space="preserve">j00487</t>
        </is>
      </c>
      <c r="B488" s="16">
        <v>46101</v>
      </c>
      <c r="C488" s="0" t="inlineStr">
        <is>
          <t xml:space="preserve">uk</t>
        </is>
      </c>
      <c r="D488" s="0" t="inlineStr">
        <is>
          <t xml:space="preserve">engineering</t>
        </is>
      </c>
      <c r="E488" s="0" t="inlineStr">
        <is>
          <t xml:space="preserve">contractors</t>
        </is>
      </c>
      <c r="F488" s="4">
        <v>-12257</v>
      </c>
      <c r="G488" s="0" t="str">
        <f>"mar26"</f>
        <v>mar26</v>
      </c>
    </row>
    <row r="489">
      <c r="A489" s="0" t="inlineStr">
        <is>
          <t xml:space="preserve">j00488</t>
        </is>
      </c>
      <c r="B489" s="16">
        <v>46101</v>
      </c>
      <c r="C489" s="0" t="inlineStr">
        <is>
          <t xml:space="preserve">uk</t>
        </is>
      </c>
      <c r="D489" s="0" t="inlineStr">
        <is>
          <t xml:space="preserve">engineering</t>
        </is>
      </c>
      <c r="E489" s="0" t="inlineStr">
        <is>
          <t xml:space="preserve">software</t>
        </is>
      </c>
      <c r="F489" s="4">
        <v>-3326</v>
      </c>
      <c r="G489" s="0" t="str">
        <f>"mar26"</f>
        <v>mar26</v>
      </c>
    </row>
    <row r="490">
      <c r="A490" s="0" t="inlineStr">
        <is>
          <t xml:space="preserve">j00489</t>
        </is>
      </c>
      <c r="B490" s="16">
        <v>46086</v>
      </c>
      <c r="C490" s="0" t="inlineStr">
        <is>
          <t xml:space="preserve">uk</t>
        </is>
      </c>
      <c r="D490" s="0" t="inlineStr">
        <is>
          <t xml:space="preserve">engineering</t>
        </is>
      </c>
      <c r="E490" s="0" t="inlineStr">
        <is>
          <t xml:space="preserve">software</t>
        </is>
      </c>
      <c r="F490" s="4">
        <v>-2269</v>
      </c>
      <c r="G490" s="0" t="str">
        <f>"mar26"</f>
        <v>mar26</v>
      </c>
    </row>
    <row r="491">
      <c r="A491" s="0" t="inlineStr">
        <is>
          <t xml:space="preserve">j00490</t>
        </is>
      </c>
      <c r="B491" s="16">
        <v>46086</v>
      </c>
      <c r="C491" s="0" t="inlineStr">
        <is>
          <t xml:space="preserve">uk</t>
        </is>
      </c>
      <c r="D491" s="0" t="inlineStr">
        <is>
          <t xml:space="preserve">engineering</t>
        </is>
      </c>
      <c r="E491" s="0" t="inlineStr">
        <is>
          <t xml:space="preserve">software</t>
        </is>
      </c>
      <c r="F491" s="4">
        <v>-2923</v>
      </c>
      <c r="G491" s="0" t="str">
        <f>"mar26"</f>
        <v>mar26</v>
      </c>
    </row>
    <row r="492">
      <c r="A492" s="0" t="inlineStr">
        <is>
          <t xml:space="preserve">j00491</t>
        </is>
      </c>
      <c r="B492" s="16">
        <v>46106</v>
      </c>
      <c r="C492" s="0" t="inlineStr">
        <is>
          <t xml:space="preserve">uk</t>
        </is>
      </c>
      <c r="D492" s="0" t="inlineStr">
        <is>
          <t xml:space="preserve">customer_success</t>
        </is>
      </c>
      <c r="E492" s="0" t="inlineStr">
        <is>
          <t xml:space="preserve">salaries</t>
        </is>
      </c>
      <c r="F492" s="4">
        <v>-42120</v>
      </c>
      <c r="G492" s="0" t="str">
        <f>"mar26"</f>
        <v>mar26</v>
      </c>
    </row>
    <row r="493">
      <c r="A493" s="0" t="inlineStr">
        <is>
          <t xml:space="preserve">j00492</t>
        </is>
      </c>
      <c r="B493" s="16">
        <v>46093</v>
      </c>
      <c r="C493" s="0" t="inlineStr">
        <is>
          <t xml:space="preserve">uk</t>
        </is>
      </c>
      <c r="D493" s="0" t="inlineStr">
        <is>
          <t xml:space="preserve">customer_success</t>
        </is>
      </c>
      <c r="E493" s="0" t="inlineStr">
        <is>
          <t xml:space="preserve">benefits</t>
        </is>
      </c>
      <c r="F493" s="4">
        <v>-8215</v>
      </c>
      <c r="G493" s="0" t="str">
        <f>"mar26"</f>
        <v>mar26</v>
      </c>
    </row>
    <row r="494">
      <c r="A494" s="0" t="inlineStr">
        <is>
          <t xml:space="preserve">j00493</t>
        </is>
      </c>
      <c r="B494" s="16">
        <v>46096</v>
      </c>
      <c r="C494" s="0" t="inlineStr">
        <is>
          <t xml:space="preserve">uk</t>
        </is>
      </c>
      <c r="D494" s="0" t="inlineStr">
        <is>
          <t xml:space="preserve">customer_success</t>
        </is>
      </c>
      <c r="E494" s="0" t="inlineStr">
        <is>
          <t xml:space="preserve">software</t>
        </is>
      </c>
      <c r="F494" s="4">
        <v>-1701</v>
      </c>
      <c r="G494" s="0" t="str">
        <f>"mar26"</f>
        <v>mar26</v>
      </c>
    </row>
    <row r="495">
      <c r="A495" s="0" t="inlineStr">
        <is>
          <t xml:space="preserve">j00494</t>
        </is>
      </c>
      <c r="B495" s="16">
        <v>46093</v>
      </c>
      <c r="C495" s="0" t="inlineStr">
        <is>
          <t xml:space="preserve">uk</t>
        </is>
      </c>
      <c r="D495" s="0" t="inlineStr">
        <is>
          <t xml:space="preserve">customer_success</t>
        </is>
      </c>
      <c r="E495" s="0" t="inlineStr">
        <is>
          <t xml:space="preserve">software</t>
        </is>
      </c>
      <c r="F495" s="4">
        <v>-1512</v>
      </c>
      <c r="G495" s="0" t="str">
        <f>"mar26"</f>
        <v>mar26</v>
      </c>
    </row>
    <row r="496">
      <c r="A496" s="0" t="inlineStr">
        <is>
          <t xml:space="preserve">j00495</t>
        </is>
      </c>
      <c r="B496" s="16">
        <v>46093</v>
      </c>
      <c r="C496" s="0" t="inlineStr">
        <is>
          <t xml:space="preserve">uk</t>
        </is>
      </c>
      <c r="D496" s="0" t="inlineStr">
        <is>
          <t xml:space="preserve">customer_success</t>
        </is>
      </c>
      <c r="E496" s="0" t="inlineStr">
        <is>
          <t xml:space="preserve">travel</t>
        </is>
      </c>
      <c r="F496" s="4">
        <v>-1688</v>
      </c>
      <c r="G496" s="0" t="str">
        <f>"mar26"</f>
        <v>mar26</v>
      </c>
    </row>
    <row r="497">
      <c r="A497" s="0" t="inlineStr">
        <is>
          <t xml:space="preserve">j00496</t>
        </is>
      </c>
      <c r="B497" s="16">
        <v>46106</v>
      </c>
      <c r="C497" s="0" t="inlineStr">
        <is>
          <t xml:space="preserve">uk</t>
        </is>
      </c>
      <c r="D497" s="0" t="inlineStr">
        <is>
          <t xml:space="preserve">g_and_a</t>
        </is>
      </c>
      <c r="E497" s="0" t="inlineStr">
        <is>
          <t xml:space="preserve">salaries</t>
        </is>
      </c>
      <c r="F497" s="4">
        <v>-45785</v>
      </c>
      <c r="G497" s="0" t="str">
        <f>"mar26"</f>
        <v>mar26</v>
      </c>
    </row>
    <row r="498">
      <c r="A498" s="0" t="inlineStr">
        <is>
          <t xml:space="preserve">j00497</t>
        </is>
      </c>
      <c r="B498" s="16">
        <v>46109</v>
      </c>
      <c r="C498" s="0" t="inlineStr">
        <is>
          <t xml:space="preserve">uk</t>
        </is>
      </c>
      <c r="D498" s="0" t="inlineStr">
        <is>
          <t xml:space="preserve">g_and_a</t>
        </is>
      </c>
      <c r="E498" s="0" t="inlineStr">
        <is>
          <t xml:space="preserve">benefits</t>
        </is>
      </c>
      <c r="F498" s="4">
        <v>-9018</v>
      </c>
      <c r="G498" s="0" t="str">
        <f>"mar26"</f>
        <v>mar26</v>
      </c>
    </row>
    <row r="499">
      <c r="A499" s="0" t="inlineStr">
        <is>
          <t xml:space="preserve">j00498</t>
        </is>
      </c>
      <c r="B499" s="16">
        <v>46086</v>
      </c>
      <c r="C499" s="0" t="inlineStr">
        <is>
          <t xml:space="preserve">uk</t>
        </is>
      </c>
      <c r="D499" s="0" t="inlineStr">
        <is>
          <t xml:space="preserve">g_and_a</t>
        </is>
      </c>
      <c r="E499" s="0" t="inlineStr">
        <is>
          <t xml:space="preserve">rent</t>
        </is>
      </c>
      <c r="F499" s="4">
        <v>-39584</v>
      </c>
      <c r="G499" s="0" t="str">
        <f>"mar26"</f>
        <v>mar26</v>
      </c>
    </row>
    <row r="500">
      <c r="A500" s="0" t="inlineStr">
        <is>
          <t xml:space="preserve">j00499</t>
        </is>
      </c>
      <c r="B500" s="16">
        <v>46086</v>
      </c>
      <c r="C500" s="0" t="inlineStr">
        <is>
          <t xml:space="preserve">uk</t>
        </is>
      </c>
      <c r="D500" s="0" t="inlineStr">
        <is>
          <t xml:space="preserve">g_and_a</t>
        </is>
      </c>
      <c r="E500" s="0" t="inlineStr">
        <is>
          <t xml:space="preserve">professional_fees</t>
        </is>
      </c>
      <c r="F500" s="4">
        <v>-8590</v>
      </c>
      <c r="G500" s="0" t="str">
        <f>"mar26"</f>
        <v>mar26</v>
      </c>
    </row>
    <row r="501">
      <c r="A501" s="0" t="inlineStr">
        <is>
          <t xml:space="preserve">j00500</t>
        </is>
      </c>
      <c r="B501" s="16">
        <v>46109</v>
      </c>
      <c r="C501" s="0" t="inlineStr">
        <is>
          <t xml:space="preserve">uk</t>
        </is>
      </c>
      <c r="D501" s="0" t="inlineStr">
        <is>
          <t xml:space="preserve">g_and_a</t>
        </is>
      </c>
      <c r="E501" s="0" t="inlineStr">
        <is>
          <t xml:space="preserve">professional_fees</t>
        </is>
      </c>
      <c r="F501" s="4">
        <v>-5902</v>
      </c>
      <c r="G501" s="0" t="str">
        <f>"mar26"</f>
        <v>mar26</v>
      </c>
    </row>
    <row r="502">
      <c r="A502" s="0" t="inlineStr">
        <is>
          <t xml:space="preserve">j00501</t>
        </is>
      </c>
      <c r="B502" s="16">
        <v>46086</v>
      </c>
      <c r="C502" s="0" t="inlineStr">
        <is>
          <t xml:space="preserve">uk</t>
        </is>
      </c>
      <c r="D502" s="0" t="inlineStr">
        <is>
          <t xml:space="preserve">g_and_a</t>
        </is>
      </c>
      <c r="E502" s="0" t="inlineStr">
        <is>
          <t xml:space="preserve">software</t>
        </is>
      </c>
      <c r="F502" s="4">
        <v>-2052</v>
      </c>
      <c r="G502" s="0" t="str">
        <f>"mar26"</f>
        <v>mar26</v>
      </c>
    </row>
    <row r="503">
      <c r="A503" s="0" t="inlineStr">
        <is>
          <t xml:space="preserve">j00502</t>
        </is>
      </c>
      <c r="B503" s="16">
        <v>46109</v>
      </c>
      <c r="C503" s="0" t="inlineStr">
        <is>
          <t xml:space="preserve">uk</t>
        </is>
      </c>
      <c r="D503" s="0" t="inlineStr">
        <is>
          <t xml:space="preserve">g_and_a</t>
        </is>
      </c>
      <c r="E503" s="0" t="inlineStr">
        <is>
          <t xml:space="preserve">software</t>
        </is>
      </c>
      <c r="F503" s="4">
        <v>-2503</v>
      </c>
      <c r="G503" s="0" t="str">
        <f>"mar26"</f>
        <v>mar26</v>
      </c>
    </row>
    <row r="504">
      <c r="A504" s="0" t="inlineStr">
        <is>
          <t xml:space="preserve">j00503</t>
        </is>
      </c>
      <c r="B504" s="16">
        <v>46086</v>
      </c>
      <c r="C504" s="0" t="inlineStr">
        <is>
          <t xml:space="preserve">uk</t>
        </is>
      </c>
      <c r="D504" s="0" t="inlineStr">
        <is>
          <t xml:space="preserve">g_and_a</t>
        </is>
      </c>
      <c r="E504" s="0" t="inlineStr">
        <is>
          <t xml:space="preserve">travel</t>
        </is>
      </c>
      <c r="F504" s="4">
        <v>-2593</v>
      </c>
      <c r="G504" s="0" t="str">
        <f>"mar26"</f>
        <v>mar26</v>
      </c>
    </row>
    <row r="505">
      <c r="A505" s="0" t="inlineStr">
        <is>
          <t xml:space="preserve">j00504</t>
        </is>
      </c>
      <c r="B505" s="16">
        <v>46101</v>
      </c>
      <c r="C505" s="0" t="inlineStr">
        <is>
          <t xml:space="preserve">uk</t>
        </is>
      </c>
      <c r="D505" s="0" t="inlineStr">
        <is>
          <t xml:space="preserve">sales</t>
        </is>
      </c>
      <c r="E505" s="0" t="inlineStr">
        <is>
          <t xml:space="preserve">commissions</t>
        </is>
      </c>
      <c r="F505" s="4">
        <v>-65344</v>
      </c>
      <c r="G505" s="0" t="str">
        <f>"mar26"</f>
        <v>mar26</v>
      </c>
    </row>
    <row r="506">
      <c r="A506" s="0" t="inlineStr">
        <is>
          <t xml:space="preserve">j00505</t>
        </is>
      </c>
      <c r="B506" s="16">
        <v>46086</v>
      </c>
      <c r="C506" s="0" t="inlineStr">
        <is>
          <t xml:space="preserve">uk</t>
        </is>
      </c>
      <c r="D506" s="0" t="inlineStr">
        <is>
          <t xml:space="preserve">sales</t>
        </is>
      </c>
      <c r="E506" s="0" t="inlineStr">
        <is>
          <t xml:space="preserve">commissions</t>
        </is>
      </c>
      <c r="F506" s="4">
        <v>-22276</v>
      </c>
      <c r="G506" s="0" t="str">
        <f>"mar26"</f>
        <v>mar26</v>
      </c>
    </row>
    <row r="507">
      <c r="A507" s="0" t="inlineStr">
        <is>
          <t xml:space="preserve">j00506</t>
        </is>
      </c>
      <c r="B507" s="16">
        <v>46086</v>
      </c>
      <c r="C507" s="0" t="inlineStr">
        <is>
          <t xml:space="preserve">uk</t>
        </is>
      </c>
      <c r="D507" s="0" t="inlineStr">
        <is>
          <t xml:space="preserve">marketing</t>
        </is>
      </c>
      <c r="E507" s="0" t="inlineStr">
        <is>
          <t xml:space="preserve">marketing_programs</t>
        </is>
      </c>
      <c r="F507" s="4">
        <v>-155990</v>
      </c>
      <c r="G507" s="0" t="str">
        <f>"mar26"</f>
        <v>mar26</v>
      </c>
    </row>
    <row r="508">
      <c r="A508" s="0" t="inlineStr">
        <is>
          <t xml:space="preserve">j00507</t>
        </is>
      </c>
      <c r="B508" s="16">
        <v>46101</v>
      </c>
      <c r="C508" s="0" t="inlineStr">
        <is>
          <t xml:space="preserve">uk</t>
        </is>
      </c>
      <c r="D508" s="0" t="inlineStr">
        <is>
          <t xml:space="preserve">engineering</t>
        </is>
      </c>
      <c r="E508" s="0" t="inlineStr">
        <is>
          <t xml:space="preserve">cloud</t>
        </is>
      </c>
      <c r="F508" s="4">
        <v>-83902</v>
      </c>
      <c r="G508" s="0" t="str">
        <f>"mar26"</f>
        <v>mar26</v>
      </c>
    </row>
    <row r="509">
      <c r="A509" s="0" t="inlineStr">
        <is>
          <t xml:space="preserve">j00508</t>
        </is>
      </c>
      <c r="B509" s="16">
        <v>46093</v>
      </c>
      <c r="C509" s="0" t="inlineStr">
        <is>
          <t xml:space="preserve">uk</t>
        </is>
      </c>
      <c r="D509" s="0" t="inlineStr">
        <is>
          <t xml:space="preserve">engineering</t>
        </is>
      </c>
      <c r="E509" s="0" t="inlineStr">
        <is>
          <t xml:space="preserve">cloud</t>
        </is>
      </c>
      <c r="F509" s="4">
        <v>-71321</v>
      </c>
      <c r="G509" s="0" t="str">
        <f>"mar26"</f>
        <v>mar26</v>
      </c>
    </row>
    <row r="510">
      <c r="A510" s="0" t="inlineStr">
        <is>
          <t xml:space="preserve">j00509</t>
        </is>
      </c>
      <c r="B510" s="16">
        <v>46140</v>
      </c>
      <c r="C510" s="0" t="inlineStr">
        <is>
          <t xml:space="preserve">uk</t>
        </is>
      </c>
      <c r="D510" s="0" t="inlineStr">
        <is>
          <t xml:space="preserve">company</t>
        </is>
      </c>
      <c r="E510" s="0" t="inlineStr">
        <is>
          <t xml:space="preserve">revenue</t>
        </is>
      </c>
      <c r="F510" s="4">
        <v>414251</v>
      </c>
      <c r="G510" s="0" t="str">
        <f>"apr26"</f>
        <v>apr26</v>
      </c>
    </row>
    <row r="511">
      <c r="A511" s="0" t="inlineStr">
        <is>
          <t xml:space="preserve">j00510</t>
        </is>
      </c>
      <c r="B511" s="16">
        <v>46132</v>
      </c>
      <c r="C511" s="0" t="inlineStr">
        <is>
          <t xml:space="preserve">uk</t>
        </is>
      </c>
      <c r="D511" s="0" t="inlineStr">
        <is>
          <t xml:space="preserve">company</t>
        </is>
      </c>
      <c r="E511" s="0" t="inlineStr">
        <is>
          <t xml:space="preserve">revenue</t>
        </is>
      </c>
      <c r="F511" s="4">
        <v>418372</v>
      </c>
      <c r="G511" s="0" t="str">
        <f>"apr26"</f>
        <v>apr26</v>
      </c>
    </row>
    <row r="512">
      <c r="A512" s="0" t="inlineStr">
        <is>
          <t xml:space="preserve">j00511</t>
        </is>
      </c>
      <c r="B512" s="16">
        <v>46132</v>
      </c>
      <c r="C512" s="0" t="inlineStr">
        <is>
          <t xml:space="preserve">uk</t>
        </is>
      </c>
      <c r="D512" s="0" t="inlineStr">
        <is>
          <t xml:space="preserve">company</t>
        </is>
      </c>
      <c r="E512" s="0" t="inlineStr">
        <is>
          <t xml:space="preserve">revenue</t>
        </is>
      </c>
      <c r="F512" s="4">
        <v>1026988</v>
      </c>
      <c r="G512" s="0" t="str">
        <f>"apr26"</f>
        <v>apr26</v>
      </c>
    </row>
    <row r="513">
      <c r="A513" s="0" t="inlineStr">
        <is>
          <t xml:space="preserve">j00512</t>
        </is>
      </c>
      <c r="B513" s="16">
        <v>46132</v>
      </c>
      <c r="C513" s="0" t="inlineStr">
        <is>
          <t xml:space="preserve">uk</t>
        </is>
      </c>
      <c r="D513" s="0" t="inlineStr">
        <is>
          <t xml:space="preserve">company</t>
        </is>
      </c>
      <c r="E513" s="0" t="inlineStr">
        <is>
          <t xml:space="preserve">cogs_hosting</t>
        </is>
      </c>
      <c r="F513" s="4">
        <v>-217059</v>
      </c>
      <c r="G513" s="0" t="str">
        <f>"apr26"</f>
        <v>apr26</v>
      </c>
    </row>
    <row r="514">
      <c r="A514" s="0" t="inlineStr">
        <is>
          <t xml:space="preserve">j00513</t>
        </is>
      </c>
      <c r="B514" s="16">
        <v>46117</v>
      </c>
      <c r="C514" s="0" t="inlineStr">
        <is>
          <t xml:space="preserve">uk</t>
        </is>
      </c>
      <c r="D514" s="0" t="inlineStr">
        <is>
          <t xml:space="preserve">company</t>
        </is>
      </c>
      <c r="E514" s="0" t="inlineStr">
        <is>
          <t xml:space="preserve">cogs_support</t>
        </is>
      </c>
      <c r="F514" s="4">
        <v>-51846</v>
      </c>
      <c r="G514" s="0" t="str">
        <f>"apr26"</f>
        <v>apr26</v>
      </c>
    </row>
    <row r="515">
      <c r="A515" s="0" t="inlineStr">
        <is>
          <t xml:space="preserve">j00514</t>
        </is>
      </c>
      <c r="B515" s="16">
        <v>46117</v>
      </c>
      <c r="C515" s="0" t="inlineStr">
        <is>
          <t xml:space="preserve">uk</t>
        </is>
      </c>
      <c r="D515" s="0" t="inlineStr">
        <is>
          <t xml:space="preserve">company</t>
        </is>
      </c>
      <c r="E515" s="0" t="inlineStr">
        <is>
          <t xml:space="preserve">cogs_support</t>
        </is>
      </c>
      <c r="F515" s="4">
        <v>-48500</v>
      </c>
      <c r="G515" s="0" t="str">
        <f>"apr26"</f>
        <v>apr26</v>
      </c>
    </row>
    <row r="516">
      <c r="A516" s="0" t="inlineStr">
        <is>
          <t xml:space="preserve">j00515</t>
        </is>
      </c>
      <c r="B516" s="16">
        <v>46137</v>
      </c>
      <c r="C516" s="0" t="inlineStr">
        <is>
          <t xml:space="preserve">uk</t>
        </is>
      </c>
      <c r="D516" s="0" t="inlineStr">
        <is>
          <t xml:space="preserve">sales</t>
        </is>
      </c>
      <c r="E516" s="0" t="inlineStr">
        <is>
          <t xml:space="preserve">salaries</t>
        </is>
      </c>
      <c r="F516" s="4">
        <v>-96613</v>
      </c>
      <c r="G516" s="0" t="str">
        <f>"apr26"</f>
        <v>apr26</v>
      </c>
    </row>
    <row r="517">
      <c r="A517" s="0" t="inlineStr">
        <is>
          <t xml:space="preserve">j00516</t>
        </is>
      </c>
      <c r="B517" s="16">
        <v>46127</v>
      </c>
      <c r="C517" s="0" t="inlineStr">
        <is>
          <t xml:space="preserve">uk</t>
        </is>
      </c>
      <c r="D517" s="0" t="inlineStr">
        <is>
          <t xml:space="preserve">sales</t>
        </is>
      </c>
      <c r="E517" s="0" t="inlineStr">
        <is>
          <t xml:space="preserve">benefits</t>
        </is>
      </c>
      <c r="F517" s="4">
        <v>-22535</v>
      </c>
      <c r="G517" s="0" t="str">
        <f>"apr26"</f>
        <v>apr26</v>
      </c>
    </row>
    <row r="518">
      <c r="A518" s="0" t="inlineStr">
        <is>
          <t xml:space="preserve">j00517</t>
        </is>
      </c>
      <c r="B518" s="16">
        <v>46117</v>
      </c>
      <c r="C518" s="0" t="inlineStr">
        <is>
          <t xml:space="preserve">uk</t>
        </is>
      </c>
      <c r="D518" s="0" t="inlineStr">
        <is>
          <t xml:space="preserve">sales</t>
        </is>
      </c>
      <c r="E518" s="0" t="inlineStr">
        <is>
          <t xml:space="preserve">travel</t>
        </is>
      </c>
      <c r="F518" s="4">
        <v>-16862</v>
      </c>
      <c r="G518" s="0" t="str">
        <f>"apr26"</f>
        <v>apr26</v>
      </c>
    </row>
    <row r="519">
      <c r="A519" s="0" t="inlineStr">
        <is>
          <t xml:space="preserve">j00518</t>
        </is>
      </c>
      <c r="B519" s="16">
        <v>46132</v>
      </c>
      <c r="C519" s="0" t="inlineStr">
        <is>
          <t xml:space="preserve">uk</t>
        </is>
      </c>
      <c r="D519" s="0" t="inlineStr">
        <is>
          <t xml:space="preserve">sales</t>
        </is>
      </c>
      <c r="E519" s="0" t="inlineStr">
        <is>
          <t xml:space="preserve">software</t>
        </is>
      </c>
      <c r="F519" s="4">
        <v>-1225</v>
      </c>
      <c r="G519" s="0" t="str">
        <f>"apr26"</f>
        <v>apr26</v>
      </c>
    </row>
    <row r="520">
      <c r="A520" s="0" t="inlineStr">
        <is>
          <t xml:space="preserve">j00519</t>
        </is>
      </c>
      <c r="B520" s="16">
        <v>46132</v>
      </c>
      <c r="C520" s="0" t="inlineStr">
        <is>
          <t xml:space="preserve">uk</t>
        </is>
      </c>
      <c r="D520" s="0" t="inlineStr">
        <is>
          <t xml:space="preserve">sales</t>
        </is>
      </c>
      <c r="E520" s="0" t="inlineStr">
        <is>
          <t xml:space="preserve">software</t>
        </is>
      </c>
      <c r="F520" s="4">
        <v>-1832</v>
      </c>
      <c r="G520" s="0" t="str">
        <f>"apr26"</f>
        <v>apr26</v>
      </c>
    </row>
    <row r="521">
      <c r="A521" s="0" t="inlineStr">
        <is>
          <t xml:space="preserve">j00520</t>
        </is>
      </c>
      <c r="B521" s="16">
        <v>46117</v>
      </c>
      <c r="C521" s="0" t="inlineStr">
        <is>
          <t xml:space="preserve">uk</t>
        </is>
      </c>
      <c r="D521" s="0" t="inlineStr">
        <is>
          <t xml:space="preserve">sales</t>
        </is>
      </c>
      <c r="E521" s="0" t="inlineStr">
        <is>
          <t xml:space="preserve">software</t>
        </is>
      </c>
      <c r="F521" s="4">
        <v>-953</v>
      </c>
      <c r="G521" s="0" t="str">
        <f>"apr26"</f>
        <v>apr26</v>
      </c>
    </row>
    <row r="522">
      <c r="A522" s="0" t="inlineStr">
        <is>
          <t xml:space="preserve">j00521</t>
        </is>
      </c>
      <c r="B522" s="16">
        <v>46137</v>
      </c>
      <c r="C522" s="0" t="inlineStr">
        <is>
          <t xml:space="preserve">uk</t>
        </is>
      </c>
      <c r="D522" s="0" t="inlineStr">
        <is>
          <t xml:space="preserve">marketing</t>
        </is>
      </c>
      <c r="E522" s="0" t="inlineStr">
        <is>
          <t xml:space="preserve">salaries</t>
        </is>
      </c>
      <c r="F522" s="4">
        <v>-48926</v>
      </c>
      <c r="G522" s="0" t="str">
        <f>"apr26"</f>
        <v>apr26</v>
      </c>
    </row>
    <row r="523">
      <c r="A523" s="0" t="inlineStr">
        <is>
          <t xml:space="preserve">j00522</t>
        </is>
      </c>
      <c r="B523" s="16">
        <v>46117</v>
      </c>
      <c r="C523" s="0" t="inlineStr">
        <is>
          <t xml:space="preserve">uk</t>
        </is>
      </c>
      <c r="D523" s="0" t="inlineStr">
        <is>
          <t xml:space="preserve">marketing</t>
        </is>
      </c>
      <c r="E523" s="0" t="inlineStr">
        <is>
          <t xml:space="preserve">benefits</t>
        </is>
      </c>
      <c r="F523" s="4">
        <v>-10047</v>
      </c>
      <c r="G523" s="0" t="str">
        <f>"apr26"</f>
        <v>apr26</v>
      </c>
    </row>
    <row r="524">
      <c r="A524" s="0" t="inlineStr">
        <is>
          <t xml:space="preserve">j00523</t>
        </is>
      </c>
      <c r="B524" s="16">
        <v>46124</v>
      </c>
      <c r="C524" s="0" t="inlineStr">
        <is>
          <t xml:space="preserve">uk</t>
        </is>
      </c>
      <c r="D524" s="0" t="inlineStr">
        <is>
          <t xml:space="preserve">marketing</t>
        </is>
      </c>
      <c r="E524" s="0" t="inlineStr">
        <is>
          <t xml:space="preserve">software</t>
        </is>
      </c>
      <c r="F524" s="4">
        <v>-6444</v>
      </c>
      <c r="G524" s="0" t="str">
        <f>"apr26"</f>
        <v>apr26</v>
      </c>
    </row>
    <row r="525">
      <c r="A525" s="0" t="inlineStr">
        <is>
          <t xml:space="preserve">j00524</t>
        </is>
      </c>
      <c r="B525" s="16">
        <v>46140</v>
      </c>
      <c r="C525" s="0" t="inlineStr">
        <is>
          <t xml:space="preserve">uk</t>
        </is>
      </c>
      <c r="D525" s="0" t="inlineStr">
        <is>
          <t xml:space="preserve">marketing</t>
        </is>
      </c>
      <c r="E525" s="0" t="inlineStr">
        <is>
          <t xml:space="preserve">travel</t>
        </is>
      </c>
      <c r="F525" s="4">
        <v>-5066</v>
      </c>
      <c r="G525" s="0" t="str">
        <f>"apr26"</f>
        <v>apr26</v>
      </c>
    </row>
    <row r="526">
      <c r="A526" s="0" t="inlineStr">
        <is>
          <t xml:space="preserve">j00525</t>
        </is>
      </c>
      <c r="B526" s="16">
        <v>46137</v>
      </c>
      <c r="C526" s="0" t="inlineStr">
        <is>
          <t xml:space="preserve">uk</t>
        </is>
      </c>
      <c r="D526" s="0" t="inlineStr">
        <is>
          <t xml:space="preserve">engineering</t>
        </is>
      </c>
      <c r="E526" s="0" t="inlineStr">
        <is>
          <t xml:space="preserve">salaries</t>
        </is>
      </c>
      <c r="F526" s="4">
        <v>-257552</v>
      </c>
      <c r="G526" s="0" t="str">
        <f>"apr26"</f>
        <v>apr26</v>
      </c>
    </row>
    <row r="527">
      <c r="A527" s="0" t="inlineStr">
        <is>
          <t xml:space="preserve">j00526</t>
        </is>
      </c>
      <c r="B527" s="16">
        <v>46132</v>
      </c>
      <c r="C527" s="0" t="inlineStr">
        <is>
          <t xml:space="preserve">uk</t>
        </is>
      </c>
      <c r="D527" s="0" t="inlineStr">
        <is>
          <t xml:space="preserve">engineering</t>
        </is>
      </c>
      <c r="E527" s="0" t="inlineStr">
        <is>
          <t xml:space="preserve">benefits</t>
        </is>
      </c>
      <c r="F527" s="4">
        <v>-54197</v>
      </c>
      <c r="G527" s="0" t="str">
        <f>"apr26"</f>
        <v>apr26</v>
      </c>
    </row>
    <row r="528">
      <c r="A528" s="0" t="inlineStr">
        <is>
          <t xml:space="preserve">j00527</t>
        </is>
      </c>
      <c r="B528" s="16">
        <v>46124</v>
      </c>
      <c r="C528" s="0" t="inlineStr">
        <is>
          <t xml:space="preserve">uk</t>
        </is>
      </c>
      <c r="D528" s="0" t="inlineStr">
        <is>
          <t xml:space="preserve">engineering</t>
        </is>
      </c>
      <c r="E528" s="0" t="inlineStr">
        <is>
          <t xml:space="preserve">contractors</t>
        </is>
      </c>
      <c r="F528" s="4">
        <v>-13044</v>
      </c>
      <c r="G528" s="0" t="str">
        <f>"apr26"</f>
        <v>apr26</v>
      </c>
    </row>
    <row r="529">
      <c r="A529" s="0" t="inlineStr">
        <is>
          <t xml:space="preserve">j00528</t>
        </is>
      </c>
      <c r="B529" s="16">
        <v>46140</v>
      </c>
      <c r="C529" s="0" t="inlineStr">
        <is>
          <t xml:space="preserve">uk</t>
        </is>
      </c>
      <c r="D529" s="0" t="inlineStr">
        <is>
          <t xml:space="preserve">engineering</t>
        </is>
      </c>
      <c r="E529" s="0" t="inlineStr">
        <is>
          <t xml:space="preserve">contractors</t>
        </is>
      </c>
      <c r="F529" s="4">
        <v>-13552</v>
      </c>
      <c r="G529" s="0" t="str">
        <f>"apr26"</f>
        <v>apr26</v>
      </c>
    </row>
    <row r="530">
      <c r="A530" s="0" t="inlineStr">
        <is>
          <t xml:space="preserve">j00529</t>
        </is>
      </c>
      <c r="B530" s="16">
        <v>46124</v>
      </c>
      <c r="C530" s="0" t="inlineStr">
        <is>
          <t xml:space="preserve">uk</t>
        </is>
      </c>
      <c r="D530" s="0" t="inlineStr">
        <is>
          <t xml:space="preserve">engineering</t>
        </is>
      </c>
      <c r="E530" s="0" t="inlineStr">
        <is>
          <t xml:space="preserve">software</t>
        </is>
      </c>
      <c r="F530" s="4">
        <v>-5254</v>
      </c>
      <c r="G530" s="0" t="str">
        <f>"apr26"</f>
        <v>apr26</v>
      </c>
    </row>
    <row r="531">
      <c r="A531" s="0" t="inlineStr">
        <is>
          <t xml:space="preserve">j00530</t>
        </is>
      </c>
      <c r="B531" s="16">
        <v>46132</v>
      </c>
      <c r="C531" s="0" t="inlineStr">
        <is>
          <t xml:space="preserve">uk</t>
        </is>
      </c>
      <c r="D531" s="0" t="inlineStr">
        <is>
          <t xml:space="preserve">engineering</t>
        </is>
      </c>
      <c r="E531" s="0" t="inlineStr">
        <is>
          <t xml:space="preserve">software</t>
        </is>
      </c>
      <c r="F531" s="4">
        <v>-3823</v>
      </c>
      <c r="G531" s="0" t="str">
        <f>"apr26"</f>
        <v>apr26</v>
      </c>
    </row>
    <row r="532">
      <c r="A532" s="0" t="inlineStr">
        <is>
          <t xml:space="preserve">j00531</t>
        </is>
      </c>
      <c r="B532" s="16">
        <v>46137</v>
      </c>
      <c r="C532" s="0" t="inlineStr">
        <is>
          <t xml:space="preserve">uk</t>
        </is>
      </c>
      <c r="D532" s="0" t="inlineStr">
        <is>
          <t xml:space="preserve">customer_success</t>
        </is>
      </c>
      <c r="E532" s="0" t="inlineStr">
        <is>
          <t xml:space="preserve">salaries</t>
        </is>
      </c>
      <c r="F532" s="4">
        <v>-38369</v>
      </c>
      <c r="G532" s="0" t="str">
        <f>"apr26"</f>
        <v>apr26</v>
      </c>
    </row>
    <row r="533">
      <c r="A533" s="0" t="inlineStr">
        <is>
          <t xml:space="preserve">j00532</t>
        </is>
      </c>
      <c r="B533" s="16">
        <v>46117</v>
      </c>
      <c r="C533" s="0" t="inlineStr">
        <is>
          <t xml:space="preserve">uk</t>
        </is>
      </c>
      <c r="D533" s="0" t="inlineStr">
        <is>
          <t xml:space="preserve">customer_success</t>
        </is>
      </c>
      <c r="E533" s="0" t="inlineStr">
        <is>
          <t xml:space="preserve">benefits</t>
        </is>
      </c>
      <c r="F533" s="4">
        <v>-8695</v>
      </c>
      <c r="G533" s="0" t="str">
        <f>"apr26"</f>
        <v>apr26</v>
      </c>
    </row>
    <row r="534">
      <c r="A534" s="0" t="inlineStr">
        <is>
          <t xml:space="preserve">j00533</t>
        </is>
      </c>
      <c r="B534" s="16">
        <v>46140</v>
      </c>
      <c r="C534" s="0" t="inlineStr">
        <is>
          <t xml:space="preserve">uk</t>
        </is>
      </c>
      <c r="D534" s="0" t="inlineStr">
        <is>
          <t xml:space="preserve">customer_success</t>
        </is>
      </c>
      <c r="E534" s="0" t="inlineStr">
        <is>
          <t xml:space="preserve">software</t>
        </is>
      </c>
      <c r="F534" s="4">
        <v>-1511</v>
      </c>
      <c r="G534" s="0" t="str">
        <f>"apr26"</f>
        <v>apr26</v>
      </c>
    </row>
    <row r="535">
      <c r="A535" s="0" t="inlineStr">
        <is>
          <t xml:space="preserve">j00534</t>
        </is>
      </c>
      <c r="B535" s="16">
        <v>46140</v>
      </c>
      <c r="C535" s="0" t="inlineStr">
        <is>
          <t xml:space="preserve">uk</t>
        </is>
      </c>
      <c r="D535" s="0" t="inlineStr">
        <is>
          <t xml:space="preserve">customer_success</t>
        </is>
      </c>
      <c r="E535" s="0" t="inlineStr">
        <is>
          <t xml:space="preserve">software</t>
        </is>
      </c>
      <c r="F535" s="4">
        <v>-1576</v>
      </c>
      <c r="G535" s="0" t="str">
        <f>"apr26"</f>
        <v>apr26</v>
      </c>
    </row>
    <row r="536">
      <c r="A536" s="0" t="inlineStr">
        <is>
          <t xml:space="preserve">j00535</t>
        </is>
      </c>
      <c r="B536" s="16">
        <v>46127</v>
      </c>
      <c r="C536" s="0" t="inlineStr">
        <is>
          <t xml:space="preserve">uk</t>
        </is>
      </c>
      <c r="D536" s="0" t="inlineStr">
        <is>
          <t xml:space="preserve">customer_success</t>
        </is>
      </c>
      <c r="E536" s="0" t="inlineStr">
        <is>
          <t xml:space="preserve">travel</t>
        </is>
      </c>
      <c r="F536" s="4">
        <v>-731</v>
      </c>
      <c r="G536" s="0" t="str">
        <f>"apr26"</f>
        <v>apr26</v>
      </c>
    </row>
    <row r="537">
      <c r="A537" s="0" t="inlineStr">
        <is>
          <t xml:space="preserve">j00536</t>
        </is>
      </c>
      <c r="B537" s="16">
        <v>46127</v>
      </c>
      <c r="C537" s="0" t="inlineStr">
        <is>
          <t xml:space="preserve">uk</t>
        </is>
      </c>
      <c r="D537" s="0" t="inlineStr">
        <is>
          <t xml:space="preserve">customer_success</t>
        </is>
      </c>
      <c r="E537" s="0" t="inlineStr">
        <is>
          <t xml:space="preserve">travel</t>
        </is>
      </c>
      <c r="F537" s="4">
        <v>-576</v>
      </c>
      <c r="G537" s="0" t="str">
        <f>"apr26"</f>
        <v>apr26</v>
      </c>
    </row>
    <row r="538">
      <c r="A538" s="0" t="inlineStr">
        <is>
          <t xml:space="preserve">j00537</t>
        </is>
      </c>
      <c r="B538" s="16">
        <v>46127</v>
      </c>
      <c r="C538" s="0" t="inlineStr">
        <is>
          <t xml:space="preserve">uk</t>
        </is>
      </c>
      <c r="D538" s="0" t="inlineStr">
        <is>
          <t xml:space="preserve">customer_success</t>
        </is>
      </c>
      <c r="E538" s="0" t="inlineStr">
        <is>
          <t xml:space="preserve">travel</t>
        </is>
      </c>
      <c r="F538" s="4">
        <v>-460</v>
      </c>
      <c r="G538" s="0" t="str">
        <f>"apr26"</f>
        <v>apr26</v>
      </c>
    </row>
    <row r="539">
      <c r="A539" s="0" t="inlineStr">
        <is>
          <t xml:space="preserve">j00538</t>
        </is>
      </c>
      <c r="B539" s="16">
        <v>46137</v>
      </c>
      <c r="C539" s="0" t="inlineStr">
        <is>
          <t xml:space="preserve">uk</t>
        </is>
      </c>
      <c r="D539" s="0" t="inlineStr">
        <is>
          <t xml:space="preserve">g_and_a</t>
        </is>
      </c>
      <c r="E539" s="0" t="inlineStr">
        <is>
          <t xml:space="preserve">salaries</t>
        </is>
      </c>
      <c r="F539" s="4">
        <v>-43607</v>
      </c>
      <c r="G539" s="0" t="str">
        <f>"apr26"</f>
        <v>apr26</v>
      </c>
    </row>
    <row r="540">
      <c r="A540" s="0" t="inlineStr">
        <is>
          <t xml:space="preserve">j00539</t>
        </is>
      </c>
      <c r="B540" s="16">
        <v>46124</v>
      </c>
      <c r="C540" s="0" t="inlineStr">
        <is>
          <t xml:space="preserve">uk</t>
        </is>
      </c>
      <c r="D540" s="0" t="inlineStr">
        <is>
          <t xml:space="preserve">g_and_a</t>
        </is>
      </c>
      <c r="E540" s="0" t="inlineStr">
        <is>
          <t xml:space="preserve">benefits</t>
        </is>
      </c>
      <c r="F540" s="4">
        <v>-8910</v>
      </c>
      <c r="G540" s="0" t="str">
        <f>"apr26"</f>
        <v>apr26</v>
      </c>
    </row>
    <row r="541">
      <c r="A541" s="0" t="inlineStr">
        <is>
          <t xml:space="preserve">j00540</t>
        </is>
      </c>
      <c r="B541" s="16">
        <v>46117</v>
      </c>
      <c r="C541" s="0" t="inlineStr">
        <is>
          <t xml:space="preserve">uk</t>
        </is>
      </c>
      <c r="D541" s="0" t="inlineStr">
        <is>
          <t xml:space="preserve">g_and_a</t>
        </is>
      </c>
      <c r="E541" s="0" t="inlineStr">
        <is>
          <t xml:space="preserve">rent</t>
        </is>
      </c>
      <c r="F541" s="4">
        <v>-39489</v>
      </c>
      <c r="G541" s="0" t="str">
        <f>"apr26"</f>
        <v>apr26</v>
      </c>
    </row>
    <row r="542">
      <c r="A542" s="0" t="inlineStr">
        <is>
          <t xml:space="preserve">j00541</t>
        </is>
      </c>
      <c r="B542" s="16">
        <v>46140</v>
      </c>
      <c r="C542" s="0" t="inlineStr">
        <is>
          <t xml:space="preserve">uk</t>
        </is>
      </c>
      <c r="D542" s="0" t="inlineStr">
        <is>
          <t xml:space="preserve">g_and_a</t>
        </is>
      </c>
      <c r="E542" s="0" t="inlineStr">
        <is>
          <t xml:space="preserve">professional_fees</t>
        </is>
      </c>
      <c r="F542" s="4">
        <v>-7484</v>
      </c>
      <c r="G542" s="0" t="str">
        <f>"apr26"</f>
        <v>apr26</v>
      </c>
    </row>
    <row r="543">
      <c r="A543" s="0" t="inlineStr">
        <is>
          <t xml:space="preserve">j00542</t>
        </is>
      </c>
      <c r="B543" s="16">
        <v>46132</v>
      </c>
      <c r="C543" s="0" t="inlineStr">
        <is>
          <t xml:space="preserve">uk</t>
        </is>
      </c>
      <c r="D543" s="0" t="inlineStr">
        <is>
          <t xml:space="preserve">g_and_a</t>
        </is>
      </c>
      <c r="E543" s="0" t="inlineStr">
        <is>
          <t xml:space="preserve">professional_fees</t>
        </is>
      </c>
      <c r="F543" s="4">
        <v>-6473</v>
      </c>
      <c r="G543" s="0" t="str">
        <f>"apr26"</f>
        <v>apr26</v>
      </c>
    </row>
    <row r="544">
      <c r="A544" s="0" t="inlineStr">
        <is>
          <t xml:space="preserve">j00543</t>
        </is>
      </c>
      <c r="B544" s="16">
        <v>46124</v>
      </c>
      <c r="C544" s="0" t="inlineStr">
        <is>
          <t xml:space="preserve">uk</t>
        </is>
      </c>
      <c r="D544" s="0" t="inlineStr">
        <is>
          <t xml:space="preserve">g_and_a</t>
        </is>
      </c>
      <c r="E544" s="0" t="inlineStr">
        <is>
          <t xml:space="preserve">software</t>
        </is>
      </c>
      <c r="F544" s="4">
        <v>-1705</v>
      </c>
      <c r="G544" s="0" t="str">
        <f>"apr26"</f>
        <v>apr26</v>
      </c>
    </row>
    <row r="545">
      <c r="A545" s="0" t="inlineStr">
        <is>
          <t xml:space="preserve">j00544</t>
        </is>
      </c>
      <c r="B545" s="16">
        <v>46127</v>
      </c>
      <c r="C545" s="0" t="inlineStr">
        <is>
          <t xml:space="preserve">uk</t>
        </is>
      </c>
      <c r="D545" s="0" t="inlineStr">
        <is>
          <t xml:space="preserve">g_and_a</t>
        </is>
      </c>
      <c r="E545" s="0" t="inlineStr">
        <is>
          <t xml:space="preserve">software</t>
        </is>
      </c>
      <c r="F545" s="4">
        <v>-3150</v>
      </c>
      <c r="G545" s="0" t="str">
        <f>"apr26"</f>
        <v>apr26</v>
      </c>
    </row>
    <row r="546">
      <c r="A546" s="0" t="inlineStr">
        <is>
          <t xml:space="preserve">j00545</t>
        </is>
      </c>
      <c r="B546" s="16">
        <v>46132</v>
      </c>
      <c r="C546" s="0" t="inlineStr">
        <is>
          <t xml:space="preserve">uk</t>
        </is>
      </c>
      <c r="D546" s="0" t="inlineStr">
        <is>
          <t xml:space="preserve">g_and_a</t>
        </is>
      </c>
      <c r="E546" s="0" t="inlineStr">
        <is>
          <t xml:space="preserve">travel</t>
        </is>
      </c>
      <c r="F546" s="4">
        <v>-1562</v>
      </c>
      <c r="G546" s="0" t="str">
        <f>"apr26"</f>
        <v>apr26</v>
      </c>
    </row>
    <row r="547">
      <c r="A547" s="0" t="inlineStr">
        <is>
          <t xml:space="preserve">j00546</t>
        </is>
      </c>
      <c r="B547" s="16">
        <v>46132</v>
      </c>
      <c r="C547" s="0" t="inlineStr">
        <is>
          <t xml:space="preserve">uk</t>
        </is>
      </c>
      <c r="D547" s="0" t="inlineStr">
        <is>
          <t xml:space="preserve">g_and_a</t>
        </is>
      </c>
      <c r="E547" s="0" t="inlineStr">
        <is>
          <t xml:space="preserve">travel</t>
        </is>
      </c>
      <c r="F547" s="4">
        <v>-1211</v>
      </c>
      <c r="G547" s="0" t="str">
        <f>"apr26"</f>
        <v>apr26</v>
      </c>
    </row>
    <row r="548">
      <c r="A548" s="0" t="inlineStr">
        <is>
          <t xml:space="preserve">j00547</t>
        </is>
      </c>
      <c r="B548" s="16">
        <v>46117</v>
      </c>
      <c r="C548" s="0" t="inlineStr">
        <is>
          <t xml:space="preserve">uk</t>
        </is>
      </c>
      <c r="D548" s="0" t="inlineStr">
        <is>
          <t xml:space="preserve">sales</t>
        </is>
      </c>
      <c r="E548" s="0" t="inlineStr">
        <is>
          <t xml:space="preserve">commissions</t>
        </is>
      </c>
      <c r="F548" s="4">
        <v>-59127</v>
      </c>
      <c r="G548" s="0" t="str">
        <f>"apr26"</f>
        <v>apr26</v>
      </c>
    </row>
    <row r="549">
      <c r="A549" s="0" t="inlineStr">
        <is>
          <t xml:space="preserve">j00548</t>
        </is>
      </c>
      <c r="B549" s="16">
        <v>46140</v>
      </c>
      <c r="C549" s="0" t="inlineStr">
        <is>
          <t xml:space="preserve">uk</t>
        </is>
      </c>
      <c r="D549" s="0" t="inlineStr">
        <is>
          <t xml:space="preserve">sales</t>
        </is>
      </c>
      <c r="E549" s="0" t="inlineStr">
        <is>
          <t xml:space="preserve">commissions</t>
        </is>
      </c>
      <c r="F549" s="4">
        <v>-34014</v>
      </c>
      <c r="G549" s="0" t="str">
        <f>"apr26"</f>
        <v>apr26</v>
      </c>
    </row>
    <row r="550">
      <c r="A550" s="0" t="inlineStr">
        <is>
          <t xml:space="preserve">j00549</t>
        </is>
      </c>
      <c r="B550" s="16">
        <v>46124</v>
      </c>
      <c r="C550" s="0" t="inlineStr">
        <is>
          <t xml:space="preserve">uk</t>
        </is>
      </c>
      <c r="D550" s="0" t="inlineStr">
        <is>
          <t xml:space="preserve">marketing</t>
        </is>
      </c>
      <c r="E550" s="0" t="inlineStr">
        <is>
          <t xml:space="preserve">marketing_programs</t>
        </is>
      </c>
      <c r="F550" s="4">
        <v>-96001</v>
      </c>
      <c r="G550" s="0" t="str">
        <f>"apr26"</f>
        <v>apr26</v>
      </c>
    </row>
    <row r="551">
      <c r="A551" s="0" t="inlineStr">
        <is>
          <t xml:space="preserve">j00550</t>
        </is>
      </c>
      <c r="B551" s="16">
        <v>46117</v>
      </c>
      <c r="C551" s="0" t="inlineStr">
        <is>
          <t xml:space="preserve">uk</t>
        </is>
      </c>
      <c r="D551" s="0" t="inlineStr">
        <is>
          <t xml:space="preserve">marketing</t>
        </is>
      </c>
      <c r="E551" s="0" t="inlineStr">
        <is>
          <t xml:space="preserve">marketing_programs</t>
        </is>
      </c>
      <c r="F551" s="4">
        <v>-58329</v>
      </c>
      <c r="G551" s="0" t="str">
        <f>"apr26"</f>
        <v>apr26</v>
      </c>
    </row>
    <row r="552">
      <c r="A552" s="0" t="inlineStr">
        <is>
          <t xml:space="preserve">j00551</t>
        </is>
      </c>
      <c r="B552" s="16">
        <v>46124</v>
      </c>
      <c r="C552" s="0" t="inlineStr">
        <is>
          <t xml:space="preserve">uk</t>
        </is>
      </c>
      <c r="D552" s="0" t="inlineStr">
        <is>
          <t xml:space="preserve">engineering</t>
        </is>
      </c>
      <c r="E552" s="0" t="inlineStr">
        <is>
          <t xml:space="preserve">cloud</t>
        </is>
      </c>
      <c r="F552" s="4">
        <v>-77259</v>
      </c>
      <c r="G552" s="0" t="str">
        <f>"apr26"</f>
        <v>apr26</v>
      </c>
    </row>
    <row r="553">
      <c r="A553" s="0" t="inlineStr">
        <is>
          <t xml:space="preserve">j00552</t>
        </is>
      </c>
      <c r="B553" s="16">
        <v>46132</v>
      </c>
      <c r="C553" s="0" t="inlineStr">
        <is>
          <t xml:space="preserve">uk</t>
        </is>
      </c>
      <c r="D553" s="0" t="inlineStr">
        <is>
          <t xml:space="preserve">engineering</t>
        </is>
      </c>
      <c r="E553" s="0" t="inlineStr">
        <is>
          <t xml:space="preserve">cloud</t>
        </is>
      </c>
      <c r="F553" s="4">
        <v>-82061</v>
      </c>
      <c r="G553" s="0" t="str">
        <f>"apr26"</f>
        <v>apr26</v>
      </c>
    </row>
    <row r="554">
      <c r="A554" s="0" t="inlineStr">
        <is>
          <t xml:space="preserve">j00553</t>
        </is>
      </c>
      <c r="B554" s="16">
        <v>46147</v>
      </c>
      <c r="C554" s="0" t="inlineStr">
        <is>
          <t xml:space="preserve">uk</t>
        </is>
      </c>
      <c r="D554" s="0" t="inlineStr">
        <is>
          <t xml:space="preserve">company</t>
        </is>
      </c>
      <c r="E554" s="0" t="inlineStr">
        <is>
          <t xml:space="preserve">revenue</t>
        </is>
      </c>
      <c r="F554" s="4">
        <v>916039</v>
      </c>
      <c r="G554" s="0" t="str">
        <f>"may26"</f>
        <v>may26</v>
      </c>
    </row>
    <row r="555">
      <c r="A555" s="0" t="inlineStr">
        <is>
          <t xml:space="preserve">j00554</t>
        </is>
      </c>
      <c r="B555" s="16">
        <v>46170</v>
      </c>
      <c r="C555" s="0" t="inlineStr">
        <is>
          <t xml:space="preserve">uk</t>
        </is>
      </c>
      <c r="D555" s="0" t="inlineStr">
        <is>
          <t xml:space="preserve">company</t>
        </is>
      </c>
      <c r="E555" s="0" t="inlineStr">
        <is>
          <t xml:space="preserve">revenue</t>
        </is>
      </c>
      <c r="F555" s="4">
        <v>958731</v>
      </c>
      <c r="G555" s="0" t="str">
        <f>"may26"</f>
        <v>may26</v>
      </c>
    </row>
    <row r="556">
      <c r="A556" s="0" t="inlineStr">
        <is>
          <t xml:space="preserve">j00555</t>
        </is>
      </c>
      <c r="B556" s="16">
        <v>46170</v>
      </c>
      <c r="C556" s="0" t="inlineStr">
        <is>
          <t xml:space="preserve">uk</t>
        </is>
      </c>
      <c r="D556" s="0" t="inlineStr">
        <is>
          <t xml:space="preserve">company</t>
        </is>
      </c>
      <c r="E556" s="0" t="inlineStr">
        <is>
          <t xml:space="preserve">cogs_hosting</t>
        </is>
      </c>
      <c r="F556" s="4">
        <v>-59152</v>
      </c>
      <c r="G556" s="0" t="str">
        <f>"may26"</f>
        <v>may26</v>
      </c>
    </row>
    <row r="557">
      <c r="A557" s="0" t="inlineStr">
        <is>
          <t xml:space="preserve">j00556</t>
        </is>
      </c>
      <c r="B557" s="16">
        <v>46147</v>
      </c>
      <c r="C557" s="0" t="inlineStr">
        <is>
          <t xml:space="preserve">uk</t>
        </is>
      </c>
      <c r="D557" s="0" t="inlineStr">
        <is>
          <t xml:space="preserve">company</t>
        </is>
      </c>
      <c r="E557" s="0" t="inlineStr">
        <is>
          <t xml:space="preserve">cogs_hosting</t>
        </is>
      </c>
      <c r="F557" s="4">
        <v>-80295</v>
      </c>
      <c r="G557" s="0" t="str">
        <f>"may26"</f>
        <v>may26</v>
      </c>
    </row>
    <row r="558">
      <c r="A558" s="0" t="inlineStr">
        <is>
          <t xml:space="preserve">j00557</t>
        </is>
      </c>
      <c r="B558" s="16">
        <v>46147</v>
      </c>
      <c r="C558" s="0" t="inlineStr">
        <is>
          <t xml:space="preserve">uk</t>
        </is>
      </c>
      <c r="D558" s="0" t="inlineStr">
        <is>
          <t xml:space="preserve">company</t>
        </is>
      </c>
      <c r="E558" s="0" t="inlineStr">
        <is>
          <t xml:space="preserve">cogs_hosting</t>
        </is>
      </c>
      <c r="F558" s="4">
        <v>-79979</v>
      </c>
      <c r="G558" s="0" t="str">
        <f>"may26"</f>
        <v>may26</v>
      </c>
    </row>
    <row r="559">
      <c r="A559" s="0" t="inlineStr">
        <is>
          <t xml:space="preserve">j00558</t>
        </is>
      </c>
      <c r="B559" s="16">
        <v>46170</v>
      </c>
      <c r="C559" s="0" t="inlineStr">
        <is>
          <t xml:space="preserve">uk</t>
        </is>
      </c>
      <c r="D559" s="0" t="inlineStr">
        <is>
          <t xml:space="preserve">company</t>
        </is>
      </c>
      <c r="E559" s="0" t="inlineStr">
        <is>
          <t xml:space="preserve">cogs_support</t>
        </is>
      </c>
      <c r="F559" s="4">
        <v>-55452</v>
      </c>
      <c r="G559" s="0" t="str">
        <f>"may26"</f>
        <v>may26</v>
      </c>
    </row>
    <row r="560">
      <c r="A560" s="0" t="inlineStr">
        <is>
          <t xml:space="preserve">j00559</t>
        </is>
      </c>
      <c r="B560" s="16">
        <v>46157</v>
      </c>
      <c r="C560" s="0" t="inlineStr">
        <is>
          <t xml:space="preserve">uk</t>
        </is>
      </c>
      <c r="D560" s="0" t="inlineStr">
        <is>
          <t xml:space="preserve">company</t>
        </is>
      </c>
      <c r="E560" s="0" t="inlineStr">
        <is>
          <t xml:space="preserve">cogs_support</t>
        </is>
      </c>
      <c r="F560" s="4">
        <v>-41230</v>
      </c>
      <c r="G560" s="0" t="str">
        <f>"may26"</f>
        <v>may26</v>
      </c>
    </row>
    <row r="561">
      <c r="A561" s="0" t="inlineStr">
        <is>
          <t xml:space="preserve">j00560</t>
        </is>
      </c>
      <c r="B561" s="16">
        <v>46167</v>
      </c>
      <c r="C561" s="0" t="inlineStr">
        <is>
          <t xml:space="preserve">uk</t>
        </is>
      </c>
      <c r="D561" s="0" t="inlineStr">
        <is>
          <t xml:space="preserve">sales</t>
        </is>
      </c>
      <c r="E561" s="0" t="inlineStr">
        <is>
          <t xml:space="preserve">salaries</t>
        </is>
      </c>
      <c r="F561" s="4">
        <v>-114264</v>
      </c>
      <c r="G561" s="0" t="str">
        <f>"may26"</f>
        <v>may26</v>
      </c>
    </row>
    <row r="562">
      <c r="A562" s="0" t="inlineStr">
        <is>
          <t xml:space="preserve">j00561</t>
        </is>
      </c>
      <c r="B562" s="16">
        <v>46162</v>
      </c>
      <c r="C562" s="0" t="inlineStr">
        <is>
          <t xml:space="preserve">uk</t>
        </is>
      </c>
      <c r="D562" s="0" t="inlineStr">
        <is>
          <t xml:space="preserve">sales</t>
        </is>
      </c>
      <c r="E562" s="0" t="inlineStr">
        <is>
          <t xml:space="preserve">benefits</t>
        </is>
      </c>
      <c r="F562" s="4">
        <v>-20137</v>
      </c>
      <c r="G562" s="0" t="str">
        <f>"may26"</f>
        <v>may26</v>
      </c>
    </row>
    <row r="563">
      <c r="A563" s="0" t="inlineStr">
        <is>
          <t xml:space="preserve">j00562</t>
        </is>
      </c>
      <c r="B563" s="16">
        <v>46147</v>
      </c>
      <c r="C563" s="0" t="inlineStr">
        <is>
          <t xml:space="preserve">uk</t>
        </is>
      </c>
      <c r="D563" s="0" t="inlineStr">
        <is>
          <t xml:space="preserve">sales</t>
        </is>
      </c>
      <c r="E563" s="0" t="inlineStr">
        <is>
          <t xml:space="preserve">travel</t>
        </is>
      </c>
      <c r="F563" s="4">
        <v>-10889</v>
      </c>
      <c r="G563" s="0" t="str">
        <f>"may26"</f>
        <v>may26</v>
      </c>
    </row>
    <row r="564">
      <c r="A564" s="0" t="inlineStr">
        <is>
          <t xml:space="preserve">j00563</t>
        </is>
      </c>
      <c r="B564" s="16">
        <v>46170</v>
      </c>
      <c r="C564" s="0" t="inlineStr">
        <is>
          <t xml:space="preserve">uk</t>
        </is>
      </c>
      <c r="D564" s="0" t="inlineStr">
        <is>
          <t xml:space="preserve">sales</t>
        </is>
      </c>
      <c r="E564" s="0" t="inlineStr">
        <is>
          <t xml:space="preserve">travel</t>
        </is>
      </c>
      <c r="F564" s="4">
        <v>-6235</v>
      </c>
      <c r="G564" s="0" t="str">
        <f>"may26"</f>
        <v>may26</v>
      </c>
    </row>
    <row r="565">
      <c r="A565" s="0" t="inlineStr">
        <is>
          <t xml:space="preserve">j00564</t>
        </is>
      </c>
      <c r="B565" s="16">
        <v>46157</v>
      </c>
      <c r="C565" s="0" t="inlineStr">
        <is>
          <t xml:space="preserve">uk</t>
        </is>
      </c>
      <c r="D565" s="0" t="inlineStr">
        <is>
          <t xml:space="preserve">sales</t>
        </is>
      </c>
      <c r="E565" s="0" t="inlineStr">
        <is>
          <t xml:space="preserve">software</t>
        </is>
      </c>
      <c r="F565" s="4">
        <v>-1998</v>
      </c>
      <c r="G565" s="0" t="str">
        <f>"may26"</f>
        <v>may26</v>
      </c>
    </row>
    <row r="566">
      <c r="A566" s="0" t="inlineStr">
        <is>
          <t xml:space="preserve">j00565</t>
        </is>
      </c>
      <c r="B566" s="16">
        <v>46162</v>
      </c>
      <c r="C566" s="0" t="inlineStr">
        <is>
          <t xml:space="preserve">uk</t>
        </is>
      </c>
      <c r="D566" s="0" t="inlineStr">
        <is>
          <t xml:space="preserve">sales</t>
        </is>
      </c>
      <c r="E566" s="0" t="inlineStr">
        <is>
          <t xml:space="preserve">software</t>
        </is>
      </c>
      <c r="F566" s="4">
        <v>-1021</v>
      </c>
      <c r="G566" s="0" t="str">
        <f>"may26"</f>
        <v>may26</v>
      </c>
    </row>
    <row r="567">
      <c r="A567" s="0" t="inlineStr">
        <is>
          <t xml:space="preserve">j00566</t>
        </is>
      </c>
      <c r="B567" s="16">
        <v>46147</v>
      </c>
      <c r="C567" s="0" t="inlineStr">
        <is>
          <t xml:space="preserve">uk</t>
        </is>
      </c>
      <c r="D567" s="0" t="inlineStr">
        <is>
          <t xml:space="preserve">sales</t>
        </is>
      </c>
      <c r="E567" s="0" t="inlineStr">
        <is>
          <t xml:space="preserve">software</t>
        </is>
      </c>
      <c r="F567" s="4">
        <v>-1055</v>
      </c>
      <c r="G567" s="0" t="str">
        <f>"may26"</f>
        <v>may26</v>
      </c>
    </row>
    <row r="568">
      <c r="A568" s="0" t="inlineStr">
        <is>
          <t xml:space="preserve">j00567</t>
        </is>
      </c>
      <c r="B568" s="16">
        <v>46167</v>
      </c>
      <c r="C568" s="0" t="inlineStr">
        <is>
          <t xml:space="preserve">uk</t>
        </is>
      </c>
      <c r="D568" s="0" t="inlineStr">
        <is>
          <t xml:space="preserve">marketing</t>
        </is>
      </c>
      <c r="E568" s="0" t="inlineStr">
        <is>
          <t xml:space="preserve">salaries</t>
        </is>
      </c>
      <c r="F568" s="4">
        <v>-52481</v>
      </c>
      <c r="G568" s="0" t="str">
        <f>"may26"</f>
        <v>may26</v>
      </c>
    </row>
    <row r="569">
      <c r="A569" s="0" t="inlineStr">
        <is>
          <t xml:space="preserve">j00568</t>
        </is>
      </c>
      <c r="B569" s="16">
        <v>46170</v>
      </c>
      <c r="C569" s="0" t="inlineStr">
        <is>
          <t xml:space="preserve">uk</t>
        </is>
      </c>
      <c r="D569" s="0" t="inlineStr">
        <is>
          <t xml:space="preserve">marketing</t>
        </is>
      </c>
      <c r="E569" s="0" t="inlineStr">
        <is>
          <t xml:space="preserve">benefits</t>
        </is>
      </c>
      <c r="F569" s="4">
        <v>-10890</v>
      </c>
      <c r="G569" s="0" t="str">
        <f>"may26"</f>
        <v>may26</v>
      </c>
    </row>
    <row r="570">
      <c r="A570" s="0" t="inlineStr">
        <is>
          <t xml:space="preserve">j00569</t>
        </is>
      </c>
      <c r="B570" s="16">
        <v>46154</v>
      </c>
      <c r="C570" s="0" t="inlineStr">
        <is>
          <t xml:space="preserve">uk</t>
        </is>
      </c>
      <c r="D570" s="0" t="inlineStr">
        <is>
          <t xml:space="preserve">marketing</t>
        </is>
      </c>
      <c r="E570" s="0" t="inlineStr">
        <is>
          <t xml:space="preserve">software</t>
        </is>
      </c>
      <c r="F570" s="4">
        <v>-2599</v>
      </c>
      <c r="G570" s="0" t="str">
        <f>"may26"</f>
        <v>may26</v>
      </c>
    </row>
    <row r="571">
      <c r="A571" s="0" t="inlineStr">
        <is>
          <t xml:space="preserve">j00570</t>
        </is>
      </c>
      <c r="B571" s="16">
        <v>46162</v>
      </c>
      <c r="C571" s="0" t="inlineStr">
        <is>
          <t xml:space="preserve">uk</t>
        </is>
      </c>
      <c r="D571" s="0" t="inlineStr">
        <is>
          <t xml:space="preserve">marketing</t>
        </is>
      </c>
      <c r="E571" s="0" t="inlineStr">
        <is>
          <t xml:space="preserve">software</t>
        </is>
      </c>
      <c r="F571" s="4">
        <v>-1829</v>
      </c>
      <c r="G571" s="0" t="str">
        <f>"may26"</f>
        <v>may26</v>
      </c>
    </row>
    <row r="572">
      <c r="A572" s="0" t="inlineStr">
        <is>
          <t xml:space="preserve">j00571</t>
        </is>
      </c>
      <c r="B572" s="16">
        <v>46157</v>
      </c>
      <c r="C572" s="0" t="inlineStr">
        <is>
          <t xml:space="preserve">uk</t>
        </is>
      </c>
      <c r="D572" s="0" t="inlineStr">
        <is>
          <t xml:space="preserve">marketing</t>
        </is>
      </c>
      <c r="E572" s="0" t="inlineStr">
        <is>
          <t xml:space="preserve">software</t>
        </is>
      </c>
      <c r="F572" s="4">
        <v>-1615</v>
      </c>
      <c r="G572" s="0" t="str">
        <f>"may26"</f>
        <v>may26</v>
      </c>
    </row>
    <row r="573">
      <c r="A573" s="0" t="inlineStr">
        <is>
          <t xml:space="preserve">j00572</t>
        </is>
      </c>
      <c r="B573" s="16">
        <v>46157</v>
      </c>
      <c r="C573" s="0" t="inlineStr">
        <is>
          <t xml:space="preserve">uk</t>
        </is>
      </c>
      <c r="D573" s="0" t="inlineStr">
        <is>
          <t xml:space="preserve">marketing</t>
        </is>
      </c>
      <c r="E573" s="0" t="inlineStr">
        <is>
          <t xml:space="preserve">travel</t>
        </is>
      </c>
      <c r="F573" s="4">
        <v>-2099</v>
      </c>
      <c r="G573" s="0" t="str">
        <f>"may26"</f>
        <v>may26</v>
      </c>
    </row>
    <row r="574">
      <c r="A574" s="0" t="inlineStr">
        <is>
          <t xml:space="preserve">j00573</t>
        </is>
      </c>
      <c r="B574" s="16">
        <v>46147</v>
      </c>
      <c r="C574" s="0" t="inlineStr">
        <is>
          <t xml:space="preserve">uk</t>
        </is>
      </c>
      <c r="D574" s="0" t="inlineStr">
        <is>
          <t xml:space="preserve">marketing</t>
        </is>
      </c>
      <c r="E574" s="0" t="inlineStr">
        <is>
          <t xml:space="preserve">travel</t>
        </is>
      </c>
      <c r="F574" s="4">
        <v>-3151</v>
      </c>
      <c r="G574" s="0" t="str">
        <f>"may26"</f>
        <v>may26</v>
      </c>
    </row>
    <row r="575">
      <c r="A575" s="0" t="inlineStr">
        <is>
          <t xml:space="preserve">j00574</t>
        </is>
      </c>
      <c r="B575" s="16">
        <v>46167</v>
      </c>
      <c r="C575" s="0" t="inlineStr">
        <is>
          <t xml:space="preserve">uk</t>
        </is>
      </c>
      <c r="D575" s="0" t="inlineStr">
        <is>
          <t xml:space="preserve">engineering</t>
        </is>
      </c>
      <c r="E575" s="0" t="inlineStr">
        <is>
          <t xml:space="preserve">salaries</t>
        </is>
      </c>
      <c r="F575" s="4">
        <v>-243600</v>
      </c>
      <c r="G575" s="0" t="str">
        <f>"may26"</f>
        <v>may26</v>
      </c>
    </row>
    <row r="576">
      <c r="A576" s="0" t="inlineStr">
        <is>
          <t xml:space="preserve">j00575</t>
        </is>
      </c>
      <c r="B576" s="16">
        <v>46162</v>
      </c>
      <c r="C576" s="0" t="inlineStr">
        <is>
          <t xml:space="preserve">uk</t>
        </is>
      </c>
      <c r="D576" s="0" t="inlineStr">
        <is>
          <t xml:space="preserve">engineering</t>
        </is>
      </c>
      <c r="E576" s="0" t="inlineStr">
        <is>
          <t xml:space="preserve">benefits</t>
        </is>
      </c>
      <c r="F576" s="4">
        <v>-56118</v>
      </c>
      <c r="G576" s="0" t="str">
        <f>"may26"</f>
        <v>may26</v>
      </c>
    </row>
    <row r="577">
      <c r="A577" s="0" t="inlineStr">
        <is>
          <t xml:space="preserve">j00576</t>
        </is>
      </c>
      <c r="B577" s="16">
        <v>46162</v>
      </c>
      <c r="C577" s="0" t="inlineStr">
        <is>
          <t xml:space="preserve">uk</t>
        </is>
      </c>
      <c r="D577" s="0" t="inlineStr">
        <is>
          <t xml:space="preserve">engineering</t>
        </is>
      </c>
      <c r="E577" s="0" t="inlineStr">
        <is>
          <t xml:space="preserve">contractors</t>
        </is>
      </c>
      <c r="F577" s="4">
        <v>-24465</v>
      </c>
      <c r="G577" s="0" t="str">
        <f>"may26"</f>
        <v>may26</v>
      </c>
    </row>
    <row r="578">
      <c r="A578" s="0" t="inlineStr">
        <is>
          <t xml:space="preserve">j00577</t>
        </is>
      </c>
      <c r="B578" s="16">
        <v>46154</v>
      </c>
      <c r="C578" s="0" t="inlineStr">
        <is>
          <t xml:space="preserve">uk</t>
        </is>
      </c>
      <c r="D578" s="0" t="inlineStr">
        <is>
          <t xml:space="preserve">engineering</t>
        </is>
      </c>
      <c r="E578" s="0" t="inlineStr">
        <is>
          <t xml:space="preserve">software</t>
        </is>
      </c>
      <c r="F578" s="4">
        <v>-4608</v>
      </c>
      <c r="G578" s="0" t="str">
        <f>"may26"</f>
        <v>may26</v>
      </c>
    </row>
    <row r="579">
      <c r="A579" s="0" t="inlineStr">
        <is>
          <t xml:space="preserve">j00578</t>
        </is>
      </c>
      <c r="B579" s="16">
        <v>46154</v>
      </c>
      <c r="C579" s="0" t="inlineStr">
        <is>
          <t xml:space="preserve">uk</t>
        </is>
      </c>
      <c r="D579" s="0" t="inlineStr">
        <is>
          <t xml:space="preserve">engineering</t>
        </is>
      </c>
      <c r="E579" s="0" t="inlineStr">
        <is>
          <t xml:space="preserve">software</t>
        </is>
      </c>
      <c r="F579" s="4">
        <v>-5028</v>
      </c>
      <c r="G579" s="0" t="str">
        <f>"may26"</f>
        <v>may26</v>
      </c>
    </row>
    <row r="580">
      <c r="A580" s="0" t="inlineStr">
        <is>
          <t xml:space="preserve">j00579</t>
        </is>
      </c>
      <c r="B580" s="16">
        <v>46167</v>
      </c>
      <c r="C580" s="0" t="inlineStr">
        <is>
          <t xml:space="preserve">uk</t>
        </is>
      </c>
      <c r="D580" s="0" t="inlineStr">
        <is>
          <t xml:space="preserve">customer_success</t>
        </is>
      </c>
      <c r="E580" s="0" t="inlineStr">
        <is>
          <t xml:space="preserve">salaries</t>
        </is>
      </c>
      <c r="F580" s="4">
        <v>-48255</v>
      </c>
      <c r="G580" s="0" t="str">
        <f>"may26"</f>
        <v>may26</v>
      </c>
    </row>
    <row r="581">
      <c r="A581" s="0" t="inlineStr">
        <is>
          <t xml:space="preserve">j00580</t>
        </is>
      </c>
      <c r="B581" s="16">
        <v>46170</v>
      </c>
      <c r="C581" s="0" t="inlineStr">
        <is>
          <t xml:space="preserve">uk</t>
        </is>
      </c>
      <c r="D581" s="0" t="inlineStr">
        <is>
          <t xml:space="preserve">customer_success</t>
        </is>
      </c>
      <c r="E581" s="0" t="inlineStr">
        <is>
          <t xml:space="preserve">benefits</t>
        </is>
      </c>
      <c r="F581" s="4">
        <v>-10421</v>
      </c>
      <c r="G581" s="0" t="str">
        <f>"may26"</f>
        <v>may26</v>
      </c>
    </row>
    <row r="582">
      <c r="A582" s="0" t="inlineStr">
        <is>
          <t xml:space="preserve">j00581</t>
        </is>
      </c>
      <c r="B582" s="16">
        <v>46157</v>
      </c>
      <c r="C582" s="0" t="inlineStr">
        <is>
          <t xml:space="preserve">uk</t>
        </is>
      </c>
      <c r="D582" s="0" t="inlineStr">
        <is>
          <t xml:space="preserve">customer_success</t>
        </is>
      </c>
      <c r="E582" s="0" t="inlineStr">
        <is>
          <t xml:space="preserve">software</t>
        </is>
      </c>
      <c r="F582" s="4">
        <v>-1965</v>
      </c>
      <c r="G582" s="0" t="str">
        <f>"may26"</f>
        <v>may26</v>
      </c>
    </row>
    <row r="583">
      <c r="A583" s="0" t="inlineStr">
        <is>
          <t xml:space="preserve">j00582</t>
        </is>
      </c>
      <c r="B583" s="16">
        <v>46154</v>
      </c>
      <c r="C583" s="0" t="inlineStr">
        <is>
          <t xml:space="preserve">uk</t>
        </is>
      </c>
      <c r="D583" s="0" t="inlineStr">
        <is>
          <t xml:space="preserve">customer_success</t>
        </is>
      </c>
      <c r="E583" s="0" t="inlineStr">
        <is>
          <t xml:space="preserve">software</t>
        </is>
      </c>
      <c r="F583" s="4">
        <v>-485</v>
      </c>
      <c r="G583" s="0" t="str">
        <f>"may26"</f>
        <v>may26</v>
      </c>
    </row>
    <row r="584">
      <c r="A584" s="0" t="inlineStr">
        <is>
          <t xml:space="preserve">j00583</t>
        </is>
      </c>
      <c r="B584" s="16">
        <v>46147</v>
      </c>
      <c r="C584" s="0" t="inlineStr">
        <is>
          <t xml:space="preserve">uk</t>
        </is>
      </c>
      <c r="D584" s="0" t="inlineStr">
        <is>
          <t xml:space="preserve">customer_success</t>
        </is>
      </c>
      <c r="E584" s="0" t="inlineStr">
        <is>
          <t xml:space="preserve">software</t>
        </is>
      </c>
      <c r="F584" s="4">
        <v>-622</v>
      </c>
      <c r="G584" s="0" t="str">
        <f>"may26"</f>
        <v>may26</v>
      </c>
    </row>
    <row r="585">
      <c r="A585" s="0" t="inlineStr">
        <is>
          <t xml:space="preserve">j00584</t>
        </is>
      </c>
      <c r="B585" s="16">
        <v>46157</v>
      </c>
      <c r="C585" s="0" t="inlineStr">
        <is>
          <t xml:space="preserve">uk</t>
        </is>
      </c>
      <c r="D585" s="0" t="inlineStr">
        <is>
          <t xml:space="preserve">customer_success</t>
        </is>
      </c>
      <c r="E585" s="0" t="inlineStr">
        <is>
          <t xml:space="preserve">travel</t>
        </is>
      </c>
      <c r="F585" s="4">
        <v>-1702</v>
      </c>
      <c r="G585" s="0" t="str">
        <f>"may26"</f>
        <v>may26</v>
      </c>
    </row>
    <row r="586">
      <c r="A586" s="0" t="inlineStr">
        <is>
          <t xml:space="preserve">j00585</t>
        </is>
      </c>
      <c r="B586" s="16">
        <v>46167</v>
      </c>
      <c r="C586" s="0" t="inlineStr">
        <is>
          <t xml:space="preserve">uk</t>
        </is>
      </c>
      <c r="D586" s="0" t="inlineStr">
        <is>
          <t xml:space="preserve">g_and_a</t>
        </is>
      </c>
      <c r="E586" s="0" t="inlineStr">
        <is>
          <t xml:space="preserve">salaries</t>
        </is>
      </c>
      <c r="F586" s="4">
        <v>-42907</v>
      </c>
      <c r="G586" s="0" t="str">
        <f>"may26"</f>
        <v>may26</v>
      </c>
    </row>
    <row r="587">
      <c r="A587" s="0" t="inlineStr">
        <is>
          <t xml:space="preserve">j00586</t>
        </is>
      </c>
      <c r="B587" s="16">
        <v>46147</v>
      </c>
      <c r="C587" s="0" t="inlineStr">
        <is>
          <t xml:space="preserve">uk</t>
        </is>
      </c>
      <c r="D587" s="0" t="inlineStr">
        <is>
          <t xml:space="preserve">g_and_a</t>
        </is>
      </c>
      <c r="E587" s="0" t="inlineStr">
        <is>
          <t xml:space="preserve">benefits</t>
        </is>
      </c>
      <c r="F587" s="4">
        <v>-9799</v>
      </c>
      <c r="G587" s="0" t="str">
        <f>"may26"</f>
        <v>may26</v>
      </c>
    </row>
    <row r="588">
      <c r="A588" s="0" t="inlineStr">
        <is>
          <t xml:space="preserve">j00587</t>
        </is>
      </c>
      <c r="B588" s="16">
        <v>46170</v>
      </c>
      <c r="C588" s="0" t="inlineStr">
        <is>
          <t xml:space="preserve">uk</t>
        </is>
      </c>
      <c r="D588" s="0" t="inlineStr">
        <is>
          <t xml:space="preserve">g_and_a</t>
        </is>
      </c>
      <c r="E588" s="0" t="inlineStr">
        <is>
          <t xml:space="preserve">rent</t>
        </is>
      </c>
      <c r="F588" s="4">
        <v>-40223</v>
      </c>
      <c r="G588" s="0" t="str">
        <f>"may26"</f>
        <v>may26</v>
      </c>
    </row>
    <row r="589">
      <c r="A589" s="0" t="inlineStr">
        <is>
          <t xml:space="preserve">j00588</t>
        </is>
      </c>
      <c r="B589" s="16">
        <v>46154</v>
      </c>
      <c r="C589" s="0" t="inlineStr">
        <is>
          <t xml:space="preserve">uk</t>
        </is>
      </c>
      <c r="D589" s="0" t="inlineStr">
        <is>
          <t xml:space="preserve">g_and_a</t>
        </is>
      </c>
      <c r="E589" s="0" t="inlineStr">
        <is>
          <t xml:space="preserve">professional_fees</t>
        </is>
      </c>
      <c r="F589" s="4">
        <v>-7765</v>
      </c>
      <c r="G589" s="0" t="str">
        <f>"may26"</f>
        <v>may26</v>
      </c>
    </row>
    <row r="590">
      <c r="A590" s="0" t="inlineStr">
        <is>
          <t xml:space="preserve">j00589</t>
        </is>
      </c>
      <c r="B590" s="16">
        <v>46157</v>
      </c>
      <c r="C590" s="0" t="inlineStr">
        <is>
          <t xml:space="preserve">uk</t>
        </is>
      </c>
      <c r="D590" s="0" t="inlineStr">
        <is>
          <t xml:space="preserve">g_and_a</t>
        </is>
      </c>
      <c r="E590" s="0" t="inlineStr">
        <is>
          <t xml:space="preserve">professional_fees</t>
        </is>
      </c>
      <c r="F590" s="4">
        <v>-7672</v>
      </c>
      <c r="G590" s="0" t="str">
        <f>"may26"</f>
        <v>may26</v>
      </c>
    </row>
    <row r="591">
      <c r="A591" s="0" t="inlineStr">
        <is>
          <t xml:space="preserve">j00590</t>
        </is>
      </c>
      <c r="B591" s="16">
        <v>46170</v>
      </c>
      <c r="C591" s="0" t="inlineStr">
        <is>
          <t xml:space="preserve">uk</t>
        </is>
      </c>
      <c r="D591" s="0" t="inlineStr">
        <is>
          <t xml:space="preserve">g_and_a</t>
        </is>
      </c>
      <c r="E591" s="0" t="inlineStr">
        <is>
          <t xml:space="preserve">software</t>
        </is>
      </c>
      <c r="F591" s="4">
        <v>-4542</v>
      </c>
      <c r="G591" s="0" t="str">
        <f>"may26"</f>
        <v>may26</v>
      </c>
    </row>
    <row r="592">
      <c r="A592" s="0" t="inlineStr">
        <is>
          <t xml:space="preserve">j00591</t>
        </is>
      </c>
      <c r="B592" s="16">
        <v>46154</v>
      </c>
      <c r="C592" s="0" t="inlineStr">
        <is>
          <t xml:space="preserve">uk</t>
        </is>
      </c>
      <c r="D592" s="0" t="inlineStr">
        <is>
          <t xml:space="preserve">g_and_a</t>
        </is>
      </c>
      <c r="E592" s="0" t="inlineStr">
        <is>
          <t xml:space="preserve">travel</t>
        </is>
      </c>
      <c r="F592" s="4">
        <v>-1420</v>
      </c>
      <c r="G592" s="0" t="str">
        <f>"may26"</f>
        <v>may26</v>
      </c>
    </row>
    <row r="593">
      <c r="A593" s="0" t="inlineStr">
        <is>
          <t xml:space="preserve">j00592</t>
        </is>
      </c>
      <c r="B593" s="16">
        <v>46147</v>
      </c>
      <c r="C593" s="0" t="inlineStr">
        <is>
          <t xml:space="preserve">uk</t>
        </is>
      </c>
      <c r="D593" s="0" t="inlineStr">
        <is>
          <t xml:space="preserve">g_and_a</t>
        </is>
      </c>
      <c r="E593" s="0" t="inlineStr">
        <is>
          <t xml:space="preserve">travel</t>
        </is>
      </c>
      <c r="F593" s="4">
        <v>-501</v>
      </c>
      <c r="G593" s="0" t="str">
        <f>"may26"</f>
        <v>may26</v>
      </c>
    </row>
    <row r="594">
      <c r="A594" s="0" t="inlineStr">
        <is>
          <t xml:space="preserve">j00593</t>
        </is>
      </c>
      <c r="B594" s="16">
        <v>46154</v>
      </c>
      <c r="C594" s="0" t="inlineStr">
        <is>
          <t xml:space="preserve">uk</t>
        </is>
      </c>
      <c r="D594" s="0" t="inlineStr">
        <is>
          <t xml:space="preserve">g_and_a</t>
        </is>
      </c>
      <c r="E594" s="0" t="inlineStr">
        <is>
          <t xml:space="preserve">travel</t>
        </is>
      </c>
      <c r="F594" s="4">
        <v>-721</v>
      </c>
      <c r="G594" s="0" t="str">
        <f>"may26"</f>
        <v>may26</v>
      </c>
    </row>
    <row r="595">
      <c r="A595" s="0" t="inlineStr">
        <is>
          <t xml:space="preserve">j00594</t>
        </is>
      </c>
      <c r="B595" s="16">
        <v>46170</v>
      </c>
      <c r="C595" s="0" t="inlineStr">
        <is>
          <t xml:space="preserve">uk</t>
        </is>
      </c>
      <c r="D595" s="0" t="inlineStr">
        <is>
          <t xml:space="preserve">sales</t>
        </is>
      </c>
      <c r="E595" s="0" t="inlineStr">
        <is>
          <t xml:space="preserve">commissions</t>
        </is>
      </c>
      <c r="F595" s="4">
        <v>-43437</v>
      </c>
      <c r="G595" s="0" t="str">
        <f>"may26"</f>
        <v>may26</v>
      </c>
    </row>
    <row r="596">
      <c r="A596" s="0" t="inlineStr">
        <is>
          <t xml:space="preserve">j00595</t>
        </is>
      </c>
      <c r="B596" s="16">
        <v>46162</v>
      </c>
      <c r="C596" s="0" t="inlineStr">
        <is>
          <t xml:space="preserve">uk</t>
        </is>
      </c>
      <c r="D596" s="0" t="inlineStr">
        <is>
          <t xml:space="preserve">sales</t>
        </is>
      </c>
      <c r="E596" s="0" t="inlineStr">
        <is>
          <t xml:space="preserve">commissions</t>
        </is>
      </c>
      <c r="F596" s="4">
        <v>-47197</v>
      </c>
      <c r="G596" s="0" t="str">
        <f>"may26"</f>
        <v>may26</v>
      </c>
    </row>
    <row r="597">
      <c r="A597" s="0" t="inlineStr">
        <is>
          <t xml:space="preserve">j00596</t>
        </is>
      </c>
      <c r="B597" s="16">
        <v>46157</v>
      </c>
      <c r="C597" s="0" t="inlineStr">
        <is>
          <t xml:space="preserve">uk</t>
        </is>
      </c>
      <c r="D597" s="0" t="inlineStr">
        <is>
          <t xml:space="preserve">marketing</t>
        </is>
      </c>
      <c r="E597" s="0" t="inlineStr">
        <is>
          <t xml:space="preserve">marketing_programs</t>
        </is>
      </c>
      <c r="F597" s="4">
        <v>-58568</v>
      </c>
      <c r="G597" s="0" t="str">
        <f>"may26"</f>
        <v>may26</v>
      </c>
    </row>
    <row r="598">
      <c r="A598" s="0" t="inlineStr">
        <is>
          <t xml:space="preserve">j00597</t>
        </is>
      </c>
      <c r="B598" s="16">
        <v>46157</v>
      </c>
      <c r="C598" s="0" t="inlineStr">
        <is>
          <t xml:space="preserve">uk</t>
        </is>
      </c>
      <c r="D598" s="0" t="inlineStr">
        <is>
          <t xml:space="preserve">marketing</t>
        </is>
      </c>
      <c r="E598" s="0" t="inlineStr">
        <is>
          <t xml:space="preserve">marketing_programs</t>
        </is>
      </c>
      <c r="F598" s="4">
        <v>-25804</v>
      </c>
      <c r="G598" s="0" t="str">
        <f>"may26"</f>
        <v>may26</v>
      </c>
    </row>
    <row r="599">
      <c r="A599" s="0" t="inlineStr">
        <is>
          <t xml:space="preserve">j00598</t>
        </is>
      </c>
      <c r="B599" s="16">
        <v>46154</v>
      </c>
      <c r="C599" s="0" t="inlineStr">
        <is>
          <t xml:space="preserve">uk</t>
        </is>
      </c>
      <c r="D599" s="0" t="inlineStr">
        <is>
          <t xml:space="preserve">marketing</t>
        </is>
      </c>
      <c r="E599" s="0" t="inlineStr">
        <is>
          <t xml:space="preserve">marketing_programs</t>
        </is>
      </c>
      <c r="F599" s="4">
        <v>-75540</v>
      </c>
      <c r="G599" s="0" t="str">
        <f>"may26"</f>
        <v>may26</v>
      </c>
    </row>
    <row r="600">
      <c r="A600" s="0" t="inlineStr">
        <is>
          <t xml:space="preserve">j00599</t>
        </is>
      </c>
      <c r="B600" s="16">
        <v>46157</v>
      </c>
      <c r="C600" s="0" t="inlineStr">
        <is>
          <t xml:space="preserve">uk</t>
        </is>
      </c>
      <c r="D600" s="0" t="inlineStr">
        <is>
          <t xml:space="preserve">engineering</t>
        </is>
      </c>
      <c r="E600" s="0" t="inlineStr">
        <is>
          <t xml:space="preserve">cloud</t>
        </is>
      </c>
      <c r="F600" s="4">
        <v>-106074</v>
      </c>
      <c r="G600" s="0" t="str">
        <f>"may26"</f>
        <v>may26</v>
      </c>
    </row>
    <row r="601">
      <c r="A601" s="0" t="inlineStr">
        <is>
          <t xml:space="preserve">j00600</t>
        </is>
      </c>
      <c r="B601" s="16">
        <v>46157</v>
      </c>
      <c r="C601" s="0" t="inlineStr">
        <is>
          <t xml:space="preserve">uk</t>
        </is>
      </c>
      <c r="D601" s="0" t="inlineStr">
        <is>
          <t xml:space="preserve">engineering</t>
        </is>
      </c>
      <c r="E601" s="0" t="inlineStr">
        <is>
          <t xml:space="preserve">cloud</t>
        </is>
      </c>
      <c r="F601" s="4">
        <v>-76056</v>
      </c>
      <c r="G601" s="0" t="str">
        <f>"may26"</f>
        <v>may26</v>
      </c>
    </row>
    <row r="602">
      <c r="A602" s="0" t="inlineStr">
        <is>
          <t xml:space="preserve">j00601</t>
        </is>
      </c>
      <c r="B602" s="16">
        <v>46185</v>
      </c>
      <c r="C602" s="0" t="inlineStr">
        <is>
          <t xml:space="preserve">uk</t>
        </is>
      </c>
      <c r="D602" s="0" t="inlineStr">
        <is>
          <t xml:space="preserve">company</t>
        </is>
      </c>
      <c r="E602" s="0" t="inlineStr">
        <is>
          <t xml:space="preserve">revenue</t>
        </is>
      </c>
      <c r="F602" s="4">
        <v>644366</v>
      </c>
      <c r="G602" s="0" t="str">
        <f>"jun26"</f>
        <v>jun26</v>
      </c>
    </row>
    <row r="603">
      <c r="A603" s="0" t="inlineStr">
        <is>
          <t xml:space="preserve">j00602</t>
        </is>
      </c>
      <c r="B603" s="16">
        <v>46201</v>
      </c>
      <c r="C603" s="0" t="inlineStr">
        <is>
          <t xml:space="preserve">uk</t>
        </is>
      </c>
      <c r="D603" s="0" t="inlineStr">
        <is>
          <t xml:space="preserve">company</t>
        </is>
      </c>
      <c r="E603" s="0" t="inlineStr">
        <is>
          <t xml:space="preserve">revenue</t>
        </is>
      </c>
      <c r="F603" s="4">
        <v>1000815</v>
      </c>
      <c r="G603" s="0" t="str">
        <f>"jun26"</f>
        <v>jun26</v>
      </c>
    </row>
    <row r="604">
      <c r="A604" s="0" t="inlineStr">
        <is>
          <t xml:space="preserve">j00603</t>
        </is>
      </c>
      <c r="B604" s="16">
        <v>46193</v>
      </c>
      <c r="C604" s="0" t="inlineStr">
        <is>
          <t xml:space="preserve">uk</t>
        </is>
      </c>
      <c r="D604" s="0" t="inlineStr">
        <is>
          <t xml:space="preserve">company</t>
        </is>
      </c>
      <c r="E604" s="0" t="inlineStr">
        <is>
          <t xml:space="preserve">revenue</t>
        </is>
      </c>
      <c r="F604" s="4">
        <v>326781</v>
      </c>
      <c r="G604" s="0" t="str">
        <f>"jun26"</f>
        <v>jun26</v>
      </c>
    </row>
    <row r="605">
      <c r="A605" s="0" t="inlineStr">
        <is>
          <t xml:space="preserve">j00604</t>
        </is>
      </c>
      <c r="B605" s="16">
        <v>46193</v>
      </c>
      <c r="C605" s="0" t="inlineStr">
        <is>
          <t xml:space="preserve">uk</t>
        </is>
      </c>
      <c r="D605" s="0" t="inlineStr">
        <is>
          <t xml:space="preserve">company</t>
        </is>
      </c>
      <c r="E605" s="0" t="inlineStr">
        <is>
          <t xml:space="preserve">cogs_hosting</t>
        </is>
      </c>
      <c r="F605" s="4">
        <v>-84693</v>
      </c>
      <c r="G605" s="0" t="str">
        <f>"jun26"</f>
        <v>jun26</v>
      </c>
    </row>
    <row r="606">
      <c r="A606" s="0" t="inlineStr">
        <is>
          <t xml:space="preserve">j00605</t>
        </is>
      </c>
      <c r="B606" s="16">
        <v>46193</v>
      </c>
      <c r="C606" s="0" t="inlineStr">
        <is>
          <t xml:space="preserve">uk</t>
        </is>
      </c>
      <c r="D606" s="0" t="inlineStr">
        <is>
          <t xml:space="preserve">company</t>
        </is>
      </c>
      <c r="E606" s="0" t="inlineStr">
        <is>
          <t xml:space="preserve">cogs_hosting</t>
        </is>
      </c>
      <c r="F606" s="4">
        <v>-142296</v>
      </c>
      <c r="G606" s="0" t="str">
        <f>"jun26"</f>
        <v>jun26</v>
      </c>
    </row>
    <row r="607">
      <c r="A607" s="0" t="inlineStr">
        <is>
          <t xml:space="preserve">j00606</t>
        </is>
      </c>
      <c r="B607" s="16">
        <v>46178</v>
      </c>
      <c r="C607" s="0" t="inlineStr">
        <is>
          <t xml:space="preserve">uk</t>
        </is>
      </c>
      <c r="D607" s="0" t="inlineStr">
        <is>
          <t xml:space="preserve">company</t>
        </is>
      </c>
      <c r="E607" s="0" t="inlineStr">
        <is>
          <t xml:space="preserve">cogs_support</t>
        </is>
      </c>
      <c r="F607" s="4">
        <v>-21679</v>
      </c>
      <c r="G607" s="0" t="str">
        <f>"jun26"</f>
        <v>jun26</v>
      </c>
    </row>
    <row r="608">
      <c r="A608" s="0" t="inlineStr">
        <is>
          <t xml:space="preserve">j00607</t>
        </is>
      </c>
      <c r="B608" s="16">
        <v>46188</v>
      </c>
      <c r="C608" s="0" t="inlineStr">
        <is>
          <t xml:space="preserve">uk</t>
        </is>
      </c>
      <c r="D608" s="0" t="inlineStr">
        <is>
          <t xml:space="preserve">company</t>
        </is>
      </c>
      <c r="E608" s="0" t="inlineStr">
        <is>
          <t xml:space="preserve">cogs_support</t>
        </is>
      </c>
      <c r="F608" s="4">
        <v>-50995</v>
      </c>
      <c r="G608" s="0" t="str">
        <f>"jun26"</f>
        <v>jun26</v>
      </c>
    </row>
    <row r="609">
      <c r="A609" s="0" t="inlineStr">
        <is>
          <t xml:space="preserve">j00608</t>
        </is>
      </c>
      <c r="B609" s="16">
        <v>46188</v>
      </c>
      <c r="C609" s="0" t="inlineStr">
        <is>
          <t xml:space="preserve">uk</t>
        </is>
      </c>
      <c r="D609" s="0" t="inlineStr">
        <is>
          <t xml:space="preserve">company</t>
        </is>
      </c>
      <c r="E609" s="0" t="inlineStr">
        <is>
          <t xml:space="preserve">cogs_support</t>
        </is>
      </c>
      <c r="F609" s="4">
        <v>-38603</v>
      </c>
      <c r="G609" s="0" t="str">
        <f>"jun26"</f>
        <v>jun26</v>
      </c>
    </row>
    <row r="610">
      <c r="A610" s="0" t="inlineStr">
        <is>
          <t xml:space="preserve">j00609</t>
        </is>
      </c>
      <c r="B610" s="16">
        <v>46198</v>
      </c>
      <c r="C610" s="0" t="inlineStr">
        <is>
          <t xml:space="preserve">uk</t>
        </is>
      </c>
      <c r="D610" s="0" t="inlineStr">
        <is>
          <t xml:space="preserve">sales</t>
        </is>
      </c>
      <c r="E610" s="0" t="inlineStr">
        <is>
          <t xml:space="preserve">salaries</t>
        </is>
      </c>
      <c r="F610" s="4">
        <v>-107649</v>
      </c>
      <c r="G610" s="0" t="str">
        <f>"jun26"</f>
        <v>jun26</v>
      </c>
    </row>
    <row r="611">
      <c r="A611" s="0" t="inlineStr">
        <is>
          <t xml:space="preserve">j00610</t>
        </is>
      </c>
      <c r="B611" s="16">
        <v>46201</v>
      </c>
      <c r="C611" s="0" t="inlineStr">
        <is>
          <t xml:space="preserve">uk</t>
        </is>
      </c>
      <c r="D611" s="0" t="inlineStr">
        <is>
          <t xml:space="preserve">sales</t>
        </is>
      </c>
      <c r="E611" s="0" t="inlineStr">
        <is>
          <t xml:space="preserve">benefits</t>
        </is>
      </c>
      <c r="F611" s="4">
        <v>-21574</v>
      </c>
      <c r="G611" s="0" t="str">
        <f>"jun26"</f>
        <v>jun26</v>
      </c>
    </row>
    <row r="612">
      <c r="A612" s="0" t="inlineStr">
        <is>
          <t xml:space="preserve">j00611</t>
        </is>
      </c>
      <c r="B612" s="16">
        <v>46185</v>
      </c>
      <c r="C612" s="0" t="inlineStr">
        <is>
          <t xml:space="preserve">uk</t>
        </is>
      </c>
      <c r="D612" s="0" t="inlineStr">
        <is>
          <t xml:space="preserve">sales</t>
        </is>
      </c>
      <c r="E612" s="0" t="inlineStr">
        <is>
          <t xml:space="preserve">travel</t>
        </is>
      </c>
      <c r="F612" s="4">
        <v>-2705</v>
      </c>
      <c r="G612" s="0" t="str">
        <f>"jun26"</f>
        <v>jun26</v>
      </c>
    </row>
    <row r="613">
      <c r="A613" s="0" t="inlineStr">
        <is>
          <t xml:space="preserve">j00612</t>
        </is>
      </c>
      <c r="B613" s="16">
        <v>46185</v>
      </c>
      <c r="C613" s="0" t="inlineStr">
        <is>
          <t xml:space="preserve">uk</t>
        </is>
      </c>
      <c r="D613" s="0" t="inlineStr">
        <is>
          <t xml:space="preserve">sales</t>
        </is>
      </c>
      <c r="E613" s="0" t="inlineStr">
        <is>
          <t xml:space="preserve">travel</t>
        </is>
      </c>
      <c r="F613" s="4">
        <v>-5651</v>
      </c>
      <c r="G613" s="0" t="str">
        <f>"jun26"</f>
        <v>jun26</v>
      </c>
    </row>
    <row r="614">
      <c r="A614" s="0" t="inlineStr">
        <is>
          <t xml:space="preserve">j00613</t>
        </is>
      </c>
      <c r="B614" s="16">
        <v>46201</v>
      </c>
      <c r="C614" s="0" t="inlineStr">
        <is>
          <t xml:space="preserve">uk</t>
        </is>
      </c>
      <c r="D614" s="0" t="inlineStr">
        <is>
          <t xml:space="preserve">sales</t>
        </is>
      </c>
      <c r="E614" s="0" t="inlineStr">
        <is>
          <t xml:space="preserve">travel</t>
        </is>
      </c>
      <c r="F614" s="4">
        <v>-7739</v>
      </c>
      <c r="G614" s="0" t="str">
        <f>"jun26"</f>
        <v>jun26</v>
      </c>
    </row>
    <row r="615">
      <c r="A615" s="0" t="inlineStr">
        <is>
          <t xml:space="preserve">j00614</t>
        </is>
      </c>
      <c r="B615" s="16">
        <v>46193</v>
      </c>
      <c r="C615" s="0" t="inlineStr">
        <is>
          <t xml:space="preserve">uk</t>
        </is>
      </c>
      <c r="D615" s="0" t="inlineStr">
        <is>
          <t xml:space="preserve">sales</t>
        </is>
      </c>
      <c r="E615" s="0" t="inlineStr">
        <is>
          <t xml:space="preserve">software</t>
        </is>
      </c>
      <c r="F615" s="4">
        <v>-1343</v>
      </c>
      <c r="G615" s="0" t="str">
        <f>"jun26"</f>
        <v>jun26</v>
      </c>
    </row>
    <row r="616">
      <c r="A616" s="0" t="inlineStr">
        <is>
          <t xml:space="preserve">j00615</t>
        </is>
      </c>
      <c r="B616" s="16">
        <v>46178</v>
      </c>
      <c r="C616" s="0" t="inlineStr">
        <is>
          <t xml:space="preserve">uk</t>
        </is>
      </c>
      <c r="D616" s="0" t="inlineStr">
        <is>
          <t xml:space="preserve">sales</t>
        </is>
      </c>
      <c r="E616" s="0" t="inlineStr">
        <is>
          <t xml:space="preserve">software</t>
        </is>
      </c>
      <c r="F616" s="4">
        <v>-2231</v>
      </c>
      <c r="G616" s="0" t="str">
        <f>"jun26"</f>
        <v>jun26</v>
      </c>
    </row>
    <row r="617">
      <c r="A617" s="0" t="inlineStr">
        <is>
          <t xml:space="preserve">j00616</t>
        </is>
      </c>
      <c r="B617" s="16">
        <v>46198</v>
      </c>
      <c r="C617" s="0" t="inlineStr">
        <is>
          <t xml:space="preserve">uk</t>
        </is>
      </c>
      <c r="D617" s="0" t="inlineStr">
        <is>
          <t xml:space="preserve">marketing</t>
        </is>
      </c>
      <c r="E617" s="0" t="inlineStr">
        <is>
          <t xml:space="preserve">salaries</t>
        </is>
      </c>
      <c r="F617" s="4">
        <v>-50528</v>
      </c>
      <c r="G617" s="0" t="str">
        <f>"jun26"</f>
        <v>jun26</v>
      </c>
    </row>
    <row r="618">
      <c r="A618" s="0" t="inlineStr">
        <is>
          <t xml:space="preserve">j00617</t>
        </is>
      </c>
      <c r="B618" s="16">
        <v>46188</v>
      </c>
      <c r="C618" s="0" t="inlineStr">
        <is>
          <t xml:space="preserve">uk</t>
        </is>
      </c>
      <c r="D618" s="0" t="inlineStr">
        <is>
          <t xml:space="preserve">marketing</t>
        </is>
      </c>
      <c r="E618" s="0" t="inlineStr">
        <is>
          <t xml:space="preserve">benefits</t>
        </is>
      </c>
      <c r="F618" s="4">
        <v>-10641</v>
      </c>
      <c r="G618" s="0" t="str">
        <f>"jun26"</f>
        <v>jun26</v>
      </c>
    </row>
    <row r="619">
      <c r="A619" s="0" t="inlineStr">
        <is>
          <t xml:space="preserve">j00618</t>
        </is>
      </c>
      <c r="B619" s="16">
        <v>46185</v>
      </c>
      <c r="C619" s="0" t="inlineStr">
        <is>
          <t xml:space="preserve">uk</t>
        </is>
      </c>
      <c r="D619" s="0" t="inlineStr">
        <is>
          <t xml:space="preserve">marketing</t>
        </is>
      </c>
      <c r="E619" s="0" t="inlineStr">
        <is>
          <t xml:space="preserve">software</t>
        </is>
      </c>
      <c r="F619" s="4">
        <v>-2243</v>
      </c>
      <c r="G619" s="0" t="str">
        <f>"jun26"</f>
        <v>jun26</v>
      </c>
    </row>
    <row r="620">
      <c r="A620" s="0" t="inlineStr">
        <is>
          <t xml:space="preserve">j00619</t>
        </is>
      </c>
      <c r="B620" s="16">
        <v>46193</v>
      </c>
      <c r="C620" s="0" t="inlineStr">
        <is>
          <t xml:space="preserve">uk</t>
        </is>
      </c>
      <c r="D620" s="0" t="inlineStr">
        <is>
          <t xml:space="preserve">marketing</t>
        </is>
      </c>
      <c r="E620" s="0" t="inlineStr">
        <is>
          <t xml:space="preserve">software</t>
        </is>
      </c>
      <c r="F620" s="4">
        <v>-1202</v>
      </c>
      <c r="G620" s="0" t="str">
        <f>"jun26"</f>
        <v>jun26</v>
      </c>
    </row>
    <row r="621">
      <c r="A621" s="0" t="inlineStr">
        <is>
          <t xml:space="preserve">j00620</t>
        </is>
      </c>
      <c r="B621" s="16">
        <v>46185</v>
      </c>
      <c r="C621" s="0" t="inlineStr">
        <is>
          <t xml:space="preserve">uk</t>
        </is>
      </c>
      <c r="D621" s="0" t="inlineStr">
        <is>
          <t xml:space="preserve">marketing</t>
        </is>
      </c>
      <c r="E621" s="0" t="inlineStr">
        <is>
          <t xml:space="preserve">software</t>
        </is>
      </c>
      <c r="F621" s="4">
        <v>-2217</v>
      </c>
      <c r="G621" s="0" t="str">
        <f>"jun26"</f>
        <v>jun26</v>
      </c>
    </row>
    <row r="622">
      <c r="A622" s="0" t="inlineStr">
        <is>
          <t xml:space="preserve">j00621</t>
        </is>
      </c>
      <c r="B622" s="16">
        <v>46193</v>
      </c>
      <c r="C622" s="0" t="inlineStr">
        <is>
          <t xml:space="preserve">uk</t>
        </is>
      </c>
      <c r="D622" s="0" t="inlineStr">
        <is>
          <t xml:space="preserve">marketing</t>
        </is>
      </c>
      <c r="E622" s="0" t="inlineStr">
        <is>
          <t xml:space="preserve">travel</t>
        </is>
      </c>
      <c r="F622" s="4">
        <v>-2618</v>
      </c>
      <c r="G622" s="0" t="str">
        <f>"jun26"</f>
        <v>jun26</v>
      </c>
    </row>
    <row r="623">
      <c r="A623" s="0" t="inlineStr">
        <is>
          <t xml:space="preserve">j00622</t>
        </is>
      </c>
      <c r="B623" s="16">
        <v>46193</v>
      </c>
      <c r="C623" s="0" t="inlineStr">
        <is>
          <t xml:space="preserve">uk</t>
        </is>
      </c>
      <c r="D623" s="0" t="inlineStr">
        <is>
          <t xml:space="preserve">marketing</t>
        </is>
      </c>
      <c r="E623" s="0" t="inlineStr">
        <is>
          <t xml:space="preserve">travel</t>
        </is>
      </c>
      <c r="F623" s="4">
        <v>-2848</v>
      </c>
      <c r="G623" s="0" t="str">
        <f>"jun26"</f>
        <v>jun26</v>
      </c>
    </row>
    <row r="624">
      <c r="A624" s="0" t="inlineStr">
        <is>
          <t xml:space="preserve">j00623</t>
        </is>
      </c>
      <c r="B624" s="16">
        <v>46198</v>
      </c>
      <c r="C624" s="0" t="inlineStr">
        <is>
          <t xml:space="preserve">uk</t>
        </is>
      </c>
      <c r="D624" s="0" t="inlineStr">
        <is>
          <t xml:space="preserve">engineering</t>
        </is>
      </c>
      <c r="E624" s="0" t="inlineStr">
        <is>
          <t xml:space="preserve">salaries</t>
        </is>
      </c>
      <c r="F624" s="4">
        <v>-271505</v>
      </c>
      <c r="G624" s="0" t="str">
        <f>"jun26"</f>
        <v>jun26</v>
      </c>
    </row>
    <row r="625">
      <c r="A625" s="0" t="inlineStr">
        <is>
          <t xml:space="preserve">j00624</t>
        </is>
      </c>
      <c r="B625" s="16">
        <v>46201</v>
      </c>
      <c r="C625" s="0" t="inlineStr">
        <is>
          <t xml:space="preserve">uk</t>
        </is>
      </c>
      <c r="D625" s="0" t="inlineStr">
        <is>
          <t xml:space="preserve">engineering</t>
        </is>
      </c>
      <c r="E625" s="0" t="inlineStr">
        <is>
          <t xml:space="preserve">benefits</t>
        </is>
      </c>
      <c r="F625" s="4">
        <v>-60530</v>
      </c>
      <c r="G625" s="0" t="str">
        <f>"jun26"</f>
        <v>jun26</v>
      </c>
    </row>
    <row r="626">
      <c r="A626" s="0" t="inlineStr">
        <is>
          <t xml:space="preserve">j00625</t>
        </is>
      </c>
      <c r="B626" s="16">
        <v>46178</v>
      </c>
      <c r="C626" s="0" t="inlineStr">
        <is>
          <t xml:space="preserve">uk</t>
        </is>
      </c>
      <c r="D626" s="0" t="inlineStr">
        <is>
          <t xml:space="preserve">engineering</t>
        </is>
      </c>
      <c r="E626" s="0" t="inlineStr">
        <is>
          <t xml:space="preserve">contractors</t>
        </is>
      </c>
      <c r="F626" s="4">
        <v>-8682</v>
      </c>
      <c r="G626" s="0" t="str">
        <f>"jun26"</f>
        <v>jun26</v>
      </c>
    </row>
    <row r="627">
      <c r="A627" s="0" t="inlineStr">
        <is>
          <t xml:space="preserve">j00626</t>
        </is>
      </c>
      <c r="B627" s="16">
        <v>46193</v>
      </c>
      <c r="C627" s="0" t="inlineStr">
        <is>
          <t xml:space="preserve">uk</t>
        </is>
      </c>
      <c r="D627" s="0" t="inlineStr">
        <is>
          <t xml:space="preserve">engineering</t>
        </is>
      </c>
      <c r="E627" s="0" t="inlineStr">
        <is>
          <t xml:space="preserve">contractors</t>
        </is>
      </c>
      <c r="F627" s="4">
        <v>-9414</v>
      </c>
      <c r="G627" s="0" t="str">
        <f>"jun26"</f>
        <v>jun26</v>
      </c>
    </row>
    <row r="628">
      <c r="A628" s="0" t="inlineStr">
        <is>
          <t xml:space="preserve">j00627</t>
        </is>
      </c>
      <c r="B628" s="16">
        <v>46201</v>
      </c>
      <c r="C628" s="0" t="inlineStr">
        <is>
          <t xml:space="preserve">uk</t>
        </is>
      </c>
      <c r="D628" s="0" t="inlineStr">
        <is>
          <t xml:space="preserve">engineering</t>
        </is>
      </c>
      <c r="E628" s="0" t="inlineStr">
        <is>
          <t xml:space="preserve">contractors</t>
        </is>
      </c>
      <c r="F628" s="4">
        <v>-7993</v>
      </c>
      <c r="G628" s="0" t="str">
        <f>"jun26"</f>
        <v>jun26</v>
      </c>
    </row>
    <row r="629">
      <c r="A629" s="0" t="inlineStr">
        <is>
          <t xml:space="preserve">j00628</t>
        </is>
      </c>
      <c r="B629" s="16">
        <v>46185</v>
      </c>
      <c r="C629" s="0" t="inlineStr">
        <is>
          <t xml:space="preserve">uk</t>
        </is>
      </c>
      <c r="D629" s="0" t="inlineStr">
        <is>
          <t xml:space="preserve">engineering</t>
        </is>
      </c>
      <c r="E629" s="0" t="inlineStr">
        <is>
          <t xml:space="preserve">software</t>
        </is>
      </c>
      <c r="F629" s="4">
        <v>-5815</v>
      </c>
      <c r="G629" s="0" t="str">
        <f>"jun26"</f>
        <v>jun26</v>
      </c>
    </row>
    <row r="630">
      <c r="A630" s="0" t="inlineStr">
        <is>
          <t xml:space="preserve">j00629</t>
        </is>
      </c>
      <c r="B630" s="16">
        <v>46178</v>
      </c>
      <c r="C630" s="0" t="inlineStr">
        <is>
          <t xml:space="preserve">uk</t>
        </is>
      </c>
      <c r="D630" s="0" t="inlineStr">
        <is>
          <t xml:space="preserve">engineering</t>
        </is>
      </c>
      <c r="E630" s="0" t="inlineStr">
        <is>
          <t xml:space="preserve">software</t>
        </is>
      </c>
      <c r="F630" s="4">
        <v>-3138</v>
      </c>
      <c r="G630" s="0" t="str">
        <f>"jun26"</f>
        <v>jun26</v>
      </c>
    </row>
    <row r="631">
      <c r="A631" s="0" t="inlineStr">
        <is>
          <t xml:space="preserve">j00630</t>
        </is>
      </c>
      <c r="B631" s="16">
        <v>46198</v>
      </c>
      <c r="C631" s="0" t="inlineStr">
        <is>
          <t xml:space="preserve">uk</t>
        </is>
      </c>
      <c r="D631" s="0" t="inlineStr">
        <is>
          <t xml:space="preserve">customer_success</t>
        </is>
      </c>
      <c r="E631" s="0" t="inlineStr">
        <is>
          <t xml:space="preserve">salaries</t>
        </is>
      </c>
      <c r="F631" s="4">
        <v>-46644</v>
      </c>
      <c r="G631" s="0" t="str">
        <f>"jun26"</f>
        <v>jun26</v>
      </c>
    </row>
    <row r="632">
      <c r="A632" s="0" t="inlineStr">
        <is>
          <t xml:space="preserve">j00631</t>
        </is>
      </c>
      <c r="B632" s="16">
        <v>46185</v>
      </c>
      <c r="C632" s="0" t="inlineStr">
        <is>
          <t xml:space="preserve">uk</t>
        </is>
      </c>
      <c r="D632" s="0" t="inlineStr">
        <is>
          <t xml:space="preserve">customer_success</t>
        </is>
      </c>
      <c r="E632" s="0" t="inlineStr">
        <is>
          <t xml:space="preserve">benefits</t>
        </is>
      </c>
      <c r="F632" s="4">
        <v>-9490</v>
      </c>
      <c r="G632" s="0" t="str">
        <f>"jun26"</f>
        <v>jun26</v>
      </c>
    </row>
    <row r="633">
      <c r="A633" s="0" t="inlineStr">
        <is>
          <t xml:space="preserve">j00632</t>
        </is>
      </c>
      <c r="B633" s="16">
        <v>46201</v>
      </c>
      <c r="C633" s="0" t="inlineStr">
        <is>
          <t xml:space="preserve">uk</t>
        </is>
      </c>
      <c r="D633" s="0" t="inlineStr">
        <is>
          <t xml:space="preserve">customer_success</t>
        </is>
      </c>
      <c r="E633" s="0" t="inlineStr">
        <is>
          <t xml:space="preserve">software</t>
        </is>
      </c>
      <c r="F633" s="4">
        <v>-656</v>
      </c>
      <c r="G633" s="0" t="str">
        <f>"jun26"</f>
        <v>jun26</v>
      </c>
    </row>
    <row r="634">
      <c r="A634" s="0" t="inlineStr">
        <is>
          <t xml:space="preserve">j00633</t>
        </is>
      </c>
      <c r="B634" s="16">
        <v>46201</v>
      </c>
      <c r="C634" s="0" t="inlineStr">
        <is>
          <t xml:space="preserve">uk</t>
        </is>
      </c>
      <c r="D634" s="0" t="inlineStr">
        <is>
          <t xml:space="preserve">customer_success</t>
        </is>
      </c>
      <c r="E634" s="0" t="inlineStr">
        <is>
          <t xml:space="preserve">software</t>
        </is>
      </c>
      <c r="F634" s="4">
        <v>-518</v>
      </c>
      <c r="G634" s="0" t="str">
        <f>"jun26"</f>
        <v>jun26</v>
      </c>
    </row>
    <row r="635">
      <c r="A635" s="0" t="inlineStr">
        <is>
          <t xml:space="preserve">j00634</t>
        </is>
      </c>
      <c r="B635" s="16">
        <v>46193</v>
      </c>
      <c r="C635" s="0" t="inlineStr">
        <is>
          <t xml:space="preserve">uk</t>
        </is>
      </c>
      <c r="D635" s="0" t="inlineStr">
        <is>
          <t xml:space="preserve">customer_success</t>
        </is>
      </c>
      <c r="E635" s="0" t="inlineStr">
        <is>
          <t xml:space="preserve">software</t>
        </is>
      </c>
      <c r="F635" s="4">
        <v>-1822</v>
      </c>
      <c r="G635" s="0" t="str">
        <f>"jun26"</f>
        <v>jun26</v>
      </c>
    </row>
    <row r="636">
      <c r="A636" s="0" t="inlineStr">
        <is>
          <t xml:space="preserve">j00635</t>
        </is>
      </c>
      <c r="B636" s="16">
        <v>46185</v>
      </c>
      <c r="C636" s="0" t="inlineStr">
        <is>
          <t xml:space="preserve">uk</t>
        </is>
      </c>
      <c r="D636" s="0" t="inlineStr">
        <is>
          <t xml:space="preserve">customer_success</t>
        </is>
      </c>
      <c r="E636" s="0" t="inlineStr">
        <is>
          <t xml:space="preserve">travel</t>
        </is>
      </c>
      <c r="F636" s="4">
        <v>-836</v>
      </c>
      <c r="G636" s="0" t="str">
        <f>"jun26"</f>
        <v>jun26</v>
      </c>
    </row>
    <row r="637">
      <c r="A637" s="0" t="inlineStr">
        <is>
          <t xml:space="preserve">j00636</t>
        </is>
      </c>
      <c r="B637" s="16">
        <v>46178</v>
      </c>
      <c r="C637" s="0" t="inlineStr">
        <is>
          <t xml:space="preserve">uk</t>
        </is>
      </c>
      <c r="D637" s="0" t="inlineStr">
        <is>
          <t xml:space="preserve">customer_success</t>
        </is>
      </c>
      <c r="E637" s="0" t="inlineStr">
        <is>
          <t xml:space="preserve">travel</t>
        </is>
      </c>
      <c r="F637" s="4">
        <v>-880</v>
      </c>
      <c r="G637" s="0" t="str">
        <f>"jun26"</f>
        <v>jun26</v>
      </c>
    </row>
    <row r="638">
      <c r="A638" s="0" t="inlineStr">
        <is>
          <t xml:space="preserve">j00637</t>
        </is>
      </c>
      <c r="B638" s="16">
        <v>46198</v>
      </c>
      <c r="C638" s="0" t="inlineStr">
        <is>
          <t xml:space="preserve">uk</t>
        </is>
      </c>
      <c r="D638" s="0" t="inlineStr">
        <is>
          <t xml:space="preserve">g_and_a</t>
        </is>
      </c>
      <c r="E638" s="0" t="inlineStr">
        <is>
          <t xml:space="preserve">salaries</t>
        </is>
      </c>
      <c r="F638" s="4">
        <v>-42749</v>
      </c>
      <c r="G638" s="0" t="str">
        <f>"jun26"</f>
        <v>jun26</v>
      </c>
    </row>
    <row r="639">
      <c r="A639" s="0" t="inlineStr">
        <is>
          <t xml:space="preserve">j00638</t>
        </is>
      </c>
      <c r="B639" s="16">
        <v>46193</v>
      </c>
      <c r="C639" s="0" t="inlineStr">
        <is>
          <t xml:space="preserve">uk</t>
        </is>
      </c>
      <c r="D639" s="0" t="inlineStr">
        <is>
          <t xml:space="preserve">g_and_a</t>
        </is>
      </c>
      <c r="E639" s="0" t="inlineStr">
        <is>
          <t xml:space="preserve">benefits</t>
        </is>
      </c>
      <c r="F639" s="4">
        <v>-9291</v>
      </c>
      <c r="G639" s="0" t="str">
        <f>"jun26"</f>
        <v>jun26</v>
      </c>
    </row>
    <row r="640">
      <c r="A640" s="0" t="inlineStr">
        <is>
          <t xml:space="preserve">j00639</t>
        </is>
      </c>
      <c r="B640" s="16">
        <v>46185</v>
      </c>
      <c r="C640" s="0" t="inlineStr">
        <is>
          <t xml:space="preserve">uk</t>
        </is>
      </c>
      <c r="D640" s="0" t="inlineStr">
        <is>
          <t xml:space="preserve">g_and_a</t>
        </is>
      </c>
      <c r="E640" s="0" t="inlineStr">
        <is>
          <t xml:space="preserve">rent</t>
        </is>
      </c>
      <c r="F640" s="4">
        <v>-38169</v>
      </c>
      <c r="G640" s="0" t="str">
        <f>"jun26"</f>
        <v>jun26</v>
      </c>
    </row>
    <row r="641">
      <c r="A641" s="0" t="inlineStr">
        <is>
          <t xml:space="preserve">j00640</t>
        </is>
      </c>
      <c r="B641" s="16">
        <v>46185</v>
      </c>
      <c r="C641" s="0" t="inlineStr">
        <is>
          <t xml:space="preserve">uk</t>
        </is>
      </c>
      <c r="D641" s="0" t="inlineStr">
        <is>
          <t xml:space="preserve">g_and_a</t>
        </is>
      </c>
      <c r="E641" s="0" t="inlineStr">
        <is>
          <t xml:space="preserve">professional_fees</t>
        </is>
      </c>
      <c r="F641" s="4">
        <v>-5918</v>
      </c>
      <c r="G641" s="0" t="str">
        <f>"jun26"</f>
        <v>jun26</v>
      </c>
    </row>
    <row r="642">
      <c r="A642" s="0" t="inlineStr">
        <is>
          <t xml:space="preserve">j00641</t>
        </is>
      </c>
      <c r="B642" s="16">
        <v>46178</v>
      </c>
      <c r="C642" s="0" t="inlineStr">
        <is>
          <t xml:space="preserve">uk</t>
        </is>
      </c>
      <c r="D642" s="0" t="inlineStr">
        <is>
          <t xml:space="preserve">g_and_a</t>
        </is>
      </c>
      <c r="E642" s="0" t="inlineStr">
        <is>
          <t xml:space="preserve">professional_fees</t>
        </is>
      </c>
      <c r="F642" s="4">
        <v>-9714</v>
      </c>
      <c r="G642" s="0" t="str">
        <f>"jun26"</f>
        <v>jun26</v>
      </c>
    </row>
    <row r="643">
      <c r="A643" s="0" t="inlineStr">
        <is>
          <t xml:space="preserve">j00642</t>
        </is>
      </c>
      <c r="B643" s="16">
        <v>46188</v>
      </c>
      <c r="C643" s="0" t="inlineStr">
        <is>
          <t xml:space="preserve">uk</t>
        </is>
      </c>
      <c r="D643" s="0" t="inlineStr">
        <is>
          <t xml:space="preserve">g_and_a</t>
        </is>
      </c>
      <c r="E643" s="0" t="inlineStr">
        <is>
          <t xml:space="preserve">software</t>
        </is>
      </c>
      <c r="F643" s="4">
        <v>-1801</v>
      </c>
      <c r="G643" s="0" t="str">
        <f>"jun26"</f>
        <v>jun26</v>
      </c>
    </row>
    <row r="644">
      <c r="A644" s="0" t="inlineStr">
        <is>
          <t xml:space="preserve">j00643</t>
        </is>
      </c>
      <c r="B644" s="16">
        <v>46185</v>
      </c>
      <c r="C644" s="0" t="inlineStr">
        <is>
          <t xml:space="preserve">uk</t>
        </is>
      </c>
      <c r="D644" s="0" t="inlineStr">
        <is>
          <t xml:space="preserve">g_and_a</t>
        </is>
      </c>
      <c r="E644" s="0" t="inlineStr">
        <is>
          <t xml:space="preserve">software</t>
        </is>
      </c>
      <c r="F644" s="4">
        <v>-1935</v>
      </c>
      <c r="G644" s="0" t="str">
        <f>"jun26"</f>
        <v>jun26</v>
      </c>
    </row>
    <row r="645">
      <c r="A645" s="0" t="inlineStr">
        <is>
          <t xml:space="preserve">j00644</t>
        </is>
      </c>
      <c r="B645" s="16">
        <v>46178</v>
      </c>
      <c r="C645" s="0" t="inlineStr">
        <is>
          <t xml:space="preserve">uk</t>
        </is>
      </c>
      <c r="D645" s="0" t="inlineStr">
        <is>
          <t xml:space="preserve">g_and_a</t>
        </is>
      </c>
      <c r="E645" s="0" t="inlineStr">
        <is>
          <t xml:space="preserve">software</t>
        </is>
      </c>
      <c r="F645" s="4">
        <v>-1004</v>
      </c>
      <c r="G645" s="0" t="str">
        <f>"jun26"</f>
        <v>jun26</v>
      </c>
    </row>
    <row r="646">
      <c r="A646" s="0" t="inlineStr">
        <is>
          <t xml:space="preserve">j00645</t>
        </is>
      </c>
      <c r="B646" s="16">
        <v>46188</v>
      </c>
      <c r="C646" s="0" t="inlineStr">
        <is>
          <t xml:space="preserve">uk</t>
        </is>
      </c>
      <c r="D646" s="0" t="inlineStr">
        <is>
          <t xml:space="preserve">g_and_a</t>
        </is>
      </c>
      <c r="E646" s="0" t="inlineStr">
        <is>
          <t xml:space="preserve">travel</t>
        </is>
      </c>
      <c r="F646" s="4">
        <v>-1082</v>
      </c>
      <c r="G646" s="0" t="str">
        <f>"jun26"</f>
        <v>jun26</v>
      </c>
    </row>
    <row r="647">
      <c r="A647" s="0" t="inlineStr">
        <is>
          <t xml:space="preserve">j00646</t>
        </is>
      </c>
      <c r="B647" s="16">
        <v>46185</v>
      </c>
      <c r="C647" s="0" t="inlineStr">
        <is>
          <t xml:space="preserve">uk</t>
        </is>
      </c>
      <c r="D647" s="0" t="inlineStr">
        <is>
          <t xml:space="preserve">g_and_a</t>
        </is>
      </c>
      <c r="E647" s="0" t="inlineStr">
        <is>
          <t xml:space="preserve">travel</t>
        </is>
      </c>
      <c r="F647" s="4">
        <v>-1647</v>
      </c>
      <c r="G647" s="0" t="str">
        <f>"jun26"</f>
        <v>jun26</v>
      </c>
    </row>
    <row r="648">
      <c r="A648" s="0" t="inlineStr">
        <is>
          <t xml:space="preserve">j00647</t>
        </is>
      </c>
      <c r="B648" s="16">
        <v>46193</v>
      </c>
      <c r="C648" s="0" t="inlineStr">
        <is>
          <t xml:space="preserve">uk</t>
        </is>
      </c>
      <c r="D648" s="0" t="inlineStr">
        <is>
          <t xml:space="preserve">sales</t>
        </is>
      </c>
      <c r="E648" s="0" t="inlineStr">
        <is>
          <t xml:space="preserve">commissions</t>
        </is>
      </c>
      <c r="F648" s="4">
        <v>-60352</v>
      </c>
      <c r="G648" s="0" t="str">
        <f>"jun26"</f>
        <v>jun26</v>
      </c>
    </row>
    <row r="649">
      <c r="A649" s="0" t="inlineStr">
        <is>
          <t xml:space="preserve">j00648</t>
        </is>
      </c>
      <c r="B649" s="16">
        <v>46193</v>
      </c>
      <c r="C649" s="0" t="inlineStr">
        <is>
          <t xml:space="preserve">uk</t>
        </is>
      </c>
      <c r="D649" s="0" t="inlineStr">
        <is>
          <t xml:space="preserve">sales</t>
        </is>
      </c>
      <c r="E649" s="0" t="inlineStr">
        <is>
          <t xml:space="preserve">commissions</t>
        </is>
      </c>
      <c r="F649" s="4">
        <v>-26859</v>
      </c>
      <c r="G649" s="0" t="str">
        <f>"jun26"</f>
        <v>jun26</v>
      </c>
    </row>
    <row r="650">
      <c r="A650" s="0" t="inlineStr">
        <is>
          <t xml:space="preserve">j00649</t>
        </is>
      </c>
      <c r="B650" s="16">
        <v>46185</v>
      </c>
      <c r="C650" s="0" t="inlineStr">
        <is>
          <t xml:space="preserve">uk</t>
        </is>
      </c>
      <c r="D650" s="0" t="inlineStr">
        <is>
          <t xml:space="preserve">marketing</t>
        </is>
      </c>
      <c r="E650" s="0" t="inlineStr">
        <is>
          <t xml:space="preserve">marketing_programs</t>
        </is>
      </c>
      <c r="F650" s="4">
        <v>-59185</v>
      </c>
      <c r="G650" s="0" t="str">
        <f>"jun26"</f>
        <v>jun26</v>
      </c>
    </row>
    <row r="651">
      <c r="A651" s="0" t="inlineStr">
        <is>
          <t xml:space="preserve">j00650</t>
        </is>
      </c>
      <c r="B651" s="16">
        <v>46188</v>
      </c>
      <c r="C651" s="0" t="inlineStr">
        <is>
          <t xml:space="preserve">uk</t>
        </is>
      </c>
      <c r="D651" s="0" t="inlineStr">
        <is>
          <t xml:space="preserve">marketing</t>
        </is>
      </c>
      <c r="E651" s="0" t="inlineStr">
        <is>
          <t xml:space="preserve">marketing_programs</t>
        </is>
      </c>
      <c r="F651" s="4">
        <v>-101588</v>
      </c>
      <c r="G651" s="0" t="str">
        <f>"jun26"</f>
        <v>jun26</v>
      </c>
    </row>
    <row r="652">
      <c r="A652" s="0" t="inlineStr">
        <is>
          <t xml:space="preserve">j00651</t>
        </is>
      </c>
      <c r="B652" s="16">
        <v>46193</v>
      </c>
      <c r="C652" s="0" t="inlineStr">
        <is>
          <t xml:space="preserve">uk</t>
        </is>
      </c>
      <c r="D652" s="0" t="inlineStr">
        <is>
          <t xml:space="preserve">engineering</t>
        </is>
      </c>
      <c r="E652" s="0" t="inlineStr">
        <is>
          <t xml:space="preserve">cloud</t>
        </is>
      </c>
      <c r="F652" s="4">
        <v>-72480</v>
      </c>
      <c r="G652" s="0" t="str">
        <f>"jun26"</f>
        <v>jun26</v>
      </c>
    </row>
    <row r="653">
      <c r="A653" s="0" t="inlineStr">
        <is>
          <t xml:space="preserve">j00652</t>
        </is>
      </c>
      <c r="B653" s="16">
        <v>46193</v>
      </c>
      <c r="C653" s="0" t="inlineStr">
        <is>
          <t xml:space="preserve">uk</t>
        </is>
      </c>
      <c r="D653" s="0" t="inlineStr">
        <is>
          <t xml:space="preserve">engineering</t>
        </is>
      </c>
      <c r="E653" s="0" t="inlineStr">
        <is>
          <t xml:space="preserve">cloud</t>
        </is>
      </c>
      <c r="F653" s="4">
        <v>-106460</v>
      </c>
      <c r="G653" s="0" t="str">
        <f>"jun26"</f>
        <v>jun26</v>
      </c>
    </row>
    <row r="654">
      <c r="A654" s="0" t="inlineStr">
        <is>
          <t xml:space="preserve">j00653</t>
        </is>
      </c>
      <c r="B654" s="16">
        <v>46231</v>
      </c>
      <c r="C654" s="0" t="inlineStr">
        <is>
          <t xml:space="preserve">uk</t>
        </is>
      </c>
      <c r="D654" s="0" t="inlineStr">
        <is>
          <t xml:space="preserve">company</t>
        </is>
      </c>
      <c r="E654" s="0" t="inlineStr">
        <is>
          <t xml:space="preserve">revenue</t>
        </is>
      </c>
      <c r="F654" s="4">
        <v>446687</v>
      </c>
      <c r="G654" s="0" t="str">
        <f>"jul26"</f>
        <v>jul26</v>
      </c>
    </row>
    <row r="655">
      <c r="A655" s="0" t="inlineStr">
        <is>
          <t xml:space="preserve">j00654</t>
        </is>
      </c>
      <c r="B655" s="16">
        <v>46208</v>
      </c>
      <c r="C655" s="0" t="inlineStr">
        <is>
          <t xml:space="preserve">uk</t>
        </is>
      </c>
      <c r="D655" s="0" t="inlineStr">
        <is>
          <t xml:space="preserve">company</t>
        </is>
      </c>
      <c r="E655" s="0" t="inlineStr">
        <is>
          <t xml:space="preserve">revenue</t>
        </is>
      </c>
      <c r="F655" s="4">
        <v>1501706</v>
      </c>
      <c r="G655" s="0" t="str">
        <f>"jul26"</f>
        <v>jul26</v>
      </c>
    </row>
    <row r="656">
      <c r="A656" s="0" t="inlineStr">
        <is>
          <t xml:space="preserve">j00655</t>
        </is>
      </c>
      <c r="B656" s="16">
        <v>46223</v>
      </c>
      <c r="C656" s="0" t="inlineStr">
        <is>
          <t xml:space="preserve">uk</t>
        </is>
      </c>
      <c r="D656" s="0" t="inlineStr">
        <is>
          <t xml:space="preserve">company</t>
        </is>
      </c>
      <c r="E656" s="0" t="inlineStr">
        <is>
          <t xml:space="preserve">cogs_hosting</t>
        </is>
      </c>
      <c r="F656" s="4">
        <v>-135663</v>
      </c>
      <c r="G656" s="0" t="str">
        <f>"jul26"</f>
        <v>jul26</v>
      </c>
    </row>
    <row r="657">
      <c r="A657" s="0" t="inlineStr">
        <is>
          <t xml:space="preserve">j00656</t>
        </is>
      </c>
      <c r="B657" s="16">
        <v>46223</v>
      </c>
      <c r="C657" s="0" t="inlineStr">
        <is>
          <t xml:space="preserve">uk</t>
        </is>
      </c>
      <c r="D657" s="0" t="inlineStr">
        <is>
          <t xml:space="preserve">company</t>
        </is>
      </c>
      <c r="E657" s="0" t="inlineStr">
        <is>
          <t xml:space="preserve">cogs_hosting</t>
        </is>
      </c>
      <c r="F657" s="4">
        <v>-97925</v>
      </c>
      <c r="G657" s="0" t="str">
        <f>"jul26"</f>
        <v>jul26</v>
      </c>
    </row>
    <row r="658">
      <c r="A658" s="0" t="inlineStr">
        <is>
          <t xml:space="preserve">j00657</t>
        </is>
      </c>
      <c r="B658" s="16">
        <v>46208</v>
      </c>
      <c r="C658" s="0" t="inlineStr">
        <is>
          <t xml:space="preserve">uk</t>
        </is>
      </c>
      <c r="D658" s="0" t="inlineStr">
        <is>
          <t xml:space="preserve">company</t>
        </is>
      </c>
      <c r="E658" s="0" t="inlineStr">
        <is>
          <t xml:space="preserve">cogs_support</t>
        </is>
      </c>
      <c r="F658" s="4">
        <v>-63351</v>
      </c>
      <c r="G658" s="0" t="str">
        <f>"jul26"</f>
        <v>jul26</v>
      </c>
    </row>
    <row r="659">
      <c r="A659" s="0" t="inlineStr">
        <is>
          <t xml:space="preserve">j00658</t>
        </is>
      </c>
      <c r="B659" s="16">
        <v>46215</v>
      </c>
      <c r="C659" s="0" t="inlineStr">
        <is>
          <t xml:space="preserve">uk</t>
        </is>
      </c>
      <c r="D659" s="0" t="inlineStr">
        <is>
          <t xml:space="preserve">company</t>
        </is>
      </c>
      <c r="E659" s="0" t="inlineStr">
        <is>
          <t xml:space="preserve">cogs_support</t>
        </is>
      </c>
      <c r="F659" s="4">
        <v>-23134</v>
      </c>
      <c r="G659" s="0" t="str">
        <f>"jul26"</f>
        <v>jul26</v>
      </c>
    </row>
    <row r="660">
      <c r="A660" s="0" t="inlineStr">
        <is>
          <t xml:space="preserve">j00659</t>
        </is>
      </c>
      <c r="B660" s="16">
        <v>46228</v>
      </c>
      <c r="C660" s="0" t="inlineStr">
        <is>
          <t xml:space="preserve">uk</t>
        </is>
      </c>
      <c r="D660" s="0" t="inlineStr">
        <is>
          <t xml:space="preserve">sales</t>
        </is>
      </c>
      <c r="E660" s="0" t="inlineStr">
        <is>
          <t xml:space="preserve">salaries</t>
        </is>
      </c>
      <c r="F660" s="4">
        <v>-104386</v>
      </c>
      <c r="G660" s="0" t="str">
        <f>"jul26"</f>
        <v>jul26</v>
      </c>
    </row>
    <row r="661">
      <c r="A661" s="0" t="inlineStr">
        <is>
          <t xml:space="preserve">j00660</t>
        </is>
      </c>
      <c r="B661" s="16">
        <v>46218</v>
      </c>
      <c r="C661" s="0" t="inlineStr">
        <is>
          <t xml:space="preserve">uk</t>
        </is>
      </c>
      <c r="D661" s="0" t="inlineStr">
        <is>
          <t xml:space="preserve">sales</t>
        </is>
      </c>
      <c r="E661" s="0" t="inlineStr">
        <is>
          <t xml:space="preserve">benefits</t>
        </is>
      </c>
      <c r="F661" s="4">
        <v>-23067</v>
      </c>
      <c r="G661" s="0" t="str">
        <f>"jul26"</f>
        <v>jul26</v>
      </c>
    </row>
    <row r="662">
      <c r="A662" s="0" t="inlineStr">
        <is>
          <t xml:space="preserve">j00661</t>
        </is>
      </c>
      <c r="B662" s="16">
        <v>46215</v>
      </c>
      <c r="C662" s="0" t="inlineStr">
        <is>
          <t xml:space="preserve">uk</t>
        </is>
      </c>
      <c r="D662" s="0" t="inlineStr">
        <is>
          <t xml:space="preserve">sales</t>
        </is>
      </c>
      <c r="E662" s="0" t="inlineStr">
        <is>
          <t xml:space="preserve">travel</t>
        </is>
      </c>
      <c r="F662" s="4">
        <v>-2521</v>
      </c>
      <c r="G662" s="0" t="str">
        <f>"jul26"</f>
        <v>jul26</v>
      </c>
    </row>
    <row r="663">
      <c r="A663" s="0" t="inlineStr">
        <is>
          <t xml:space="preserve">j00662</t>
        </is>
      </c>
      <c r="B663" s="16">
        <v>46231</v>
      </c>
      <c r="C663" s="0" t="inlineStr">
        <is>
          <t xml:space="preserve">uk</t>
        </is>
      </c>
      <c r="D663" s="0" t="inlineStr">
        <is>
          <t xml:space="preserve">sales</t>
        </is>
      </c>
      <c r="E663" s="0" t="inlineStr">
        <is>
          <t xml:space="preserve">travel</t>
        </is>
      </c>
      <c r="F663" s="4">
        <v>-6224</v>
      </c>
      <c r="G663" s="0" t="str">
        <f>"jul26"</f>
        <v>jul26</v>
      </c>
    </row>
    <row r="664">
      <c r="A664" s="0" t="inlineStr">
        <is>
          <t xml:space="preserve">j00663</t>
        </is>
      </c>
      <c r="B664" s="16">
        <v>46218</v>
      </c>
      <c r="C664" s="0" t="inlineStr">
        <is>
          <t xml:space="preserve">uk</t>
        </is>
      </c>
      <c r="D664" s="0" t="inlineStr">
        <is>
          <t xml:space="preserve">sales</t>
        </is>
      </c>
      <c r="E664" s="0" t="inlineStr">
        <is>
          <t xml:space="preserve">travel</t>
        </is>
      </c>
      <c r="F664" s="4">
        <v>-7700</v>
      </c>
      <c r="G664" s="0" t="str">
        <f>"jul26"</f>
        <v>jul26</v>
      </c>
    </row>
    <row r="665">
      <c r="A665" s="0" t="inlineStr">
        <is>
          <t xml:space="preserve">j00664</t>
        </is>
      </c>
      <c r="B665" s="16">
        <v>46223</v>
      </c>
      <c r="C665" s="0" t="inlineStr">
        <is>
          <t xml:space="preserve">uk</t>
        </is>
      </c>
      <c r="D665" s="0" t="inlineStr">
        <is>
          <t xml:space="preserve">sales</t>
        </is>
      </c>
      <c r="E665" s="0" t="inlineStr">
        <is>
          <t xml:space="preserve">software</t>
        </is>
      </c>
      <c r="F665" s="4">
        <v>-953</v>
      </c>
      <c r="G665" s="0" t="str">
        <f>"jul26"</f>
        <v>jul26</v>
      </c>
    </row>
    <row r="666">
      <c r="A666" s="0" t="inlineStr">
        <is>
          <t xml:space="preserve">j00665</t>
        </is>
      </c>
      <c r="B666" s="16">
        <v>46231</v>
      </c>
      <c r="C666" s="0" t="inlineStr">
        <is>
          <t xml:space="preserve">uk</t>
        </is>
      </c>
      <c r="D666" s="0" t="inlineStr">
        <is>
          <t xml:space="preserve">sales</t>
        </is>
      </c>
      <c r="E666" s="0" t="inlineStr">
        <is>
          <t xml:space="preserve">software</t>
        </is>
      </c>
      <c r="F666" s="4">
        <v>-1021</v>
      </c>
      <c r="G666" s="0" t="str">
        <f>"jul26"</f>
        <v>jul26</v>
      </c>
    </row>
    <row r="667">
      <c r="A667" s="0" t="inlineStr">
        <is>
          <t xml:space="preserve">j00666</t>
        </is>
      </c>
      <c r="B667" s="16">
        <v>46231</v>
      </c>
      <c r="C667" s="0" t="inlineStr">
        <is>
          <t xml:space="preserve">uk</t>
        </is>
      </c>
      <c r="D667" s="0" t="inlineStr">
        <is>
          <t xml:space="preserve">sales</t>
        </is>
      </c>
      <c r="E667" s="0" t="inlineStr">
        <is>
          <t xml:space="preserve">software</t>
        </is>
      </c>
      <c r="F667" s="4">
        <v>-2018</v>
      </c>
      <c r="G667" s="0" t="str">
        <f>"jul26"</f>
        <v>jul26</v>
      </c>
    </row>
    <row r="668">
      <c r="A668" s="0" t="inlineStr">
        <is>
          <t xml:space="preserve">j00667</t>
        </is>
      </c>
      <c r="B668" s="16">
        <v>46228</v>
      </c>
      <c r="C668" s="0" t="inlineStr">
        <is>
          <t xml:space="preserve">uk</t>
        </is>
      </c>
      <c r="D668" s="0" t="inlineStr">
        <is>
          <t xml:space="preserve">marketing</t>
        </is>
      </c>
      <c r="E668" s="0" t="inlineStr">
        <is>
          <t xml:space="preserve">salaries</t>
        </is>
      </c>
      <c r="F668" s="4">
        <v>-61037</v>
      </c>
      <c r="G668" s="0" t="str">
        <f>"jul26"</f>
        <v>jul26</v>
      </c>
    </row>
    <row r="669">
      <c r="A669" s="0" t="inlineStr">
        <is>
          <t xml:space="preserve">j00668</t>
        </is>
      </c>
      <c r="B669" s="16">
        <v>46218</v>
      </c>
      <c r="C669" s="0" t="inlineStr">
        <is>
          <t xml:space="preserve">uk</t>
        </is>
      </c>
      <c r="D669" s="0" t="inlineStr">
        <is>
          <t xml:space="preserve">marketing</t>
        </is>
      </c>
      <c r="E669" s="0" t="inlineStr">
        <is>
          <t xml:space="preserve">benefits</t>
        </is>
      </c>
      <c r="F669" s="4">
        <v>-13564</v>
      </c>
      <c r="G669" s="0" t="str">
        <f>"jul26"</f>
        <v>jul26</v>
      </c>
    </row>
    <row r="670">
      <c r="A670" s="0" t="inlineStr">
        <is>
          <t xml:space="preserve">j00669</t>
        </is>
      </c>
      <c r="B670" s="16">
        <v>46223</v>
      </c>
      <c r="C670" s="0" t="inlineStr">
        <is>
          <t xml:space="preserve">uk</t>
        </is>
      </c>
      <c r="D670" s="0" t="inlineStr">
        <is>
          <t xml:space="preserve">marketing</t>
        </is>
      </c>
      <c r="E670" s="0" t="inlineStr">
        <is>
          <t xml:space="preserve">software</t>
        </is>
      </c>
      <c r="F670" s="4">
        <v>-2546</v>
      </c>
      <c r="G670" s="0" t="str">
        <f>"jul26"</f>
        <v>jul26</v>
      </c>
    </row>
    <row r="671">
      <c r="A671" s="0" t="inlineStr">
        <is>
          <t xml:space="preserve">j00670</t>
        </is>
      </c>
      <c r="B671" s="16">
        <v>46218</v>
      </c>
      <c r="C671" s="0" t="inlineStr">
        <is>
          <t xml:space="preserve">uk</t>
        </is>
      </c>
      <c r="D671" s="0" t="inlineStr">
        <is>
          <t xml:space="preserve">marketing</t>
        </is>
      </c>
      <c r="E671" s="0" t="inlineStr">
        <is>
          <t xml:space="preserve">software</t>
        </is>
      </c>
      <c r="F671" s="4">
        <v>-3826</v>
      </c>
      <c r="G671" s="0" t="str">
        <f>"jul26"</f>
        <v>jul26</v>
      </c>
    </row>
    <row r="672">
      <c r="A672" s="0" t="inlineStr">
        <is>
          <t xml:space="preserve">j00671</t>
        </is>
      </c>
      <c r="B672" s="16">
        <v>46218</v>
      </c>
      <c r="C672" s="0" t="inlineStr">
        <is>
          <t xml:space="preserve">uk</t>
        </is>
      </c>
      <c r="D672" s="0" t="inlineStr">
        <is>
          <t xml:space="preserve">marketing</t>
        </is>
      </c>
      <c r="E672" s="0" t="inlineStr">
        <is>
          <t xml:space="preserve">travel</t>
        </is>
      </c>
      <c r="F672" s="4">
        <v>-4885</v>
      </c>
      <c r="G672" s="0" t="str">
        <f>"jul26"</f>
        <v>jul26</v>
      </c>
    </row>
    <row r="673">
      <c r="A673" s="0" t="inlineStr">
        <is>
          <t xml:space="preserve">j00672</t>
        </is>
      </c>
      <c r="B673" s="16">
        <v>46228</v>
      </c>
      <c r="C673" s="0" t="inlineStr">
        <is>
          <t xml:space="preserve">uk</t>
        </is>
      </c>
      <c r="D673" s="0" t="inlineStr">
        <is>
          <t xml:space="preserve">engineering</t>
        </is>
      </c>
      <c r="E673" s="0" t="inlineStr">
        <is>
          <t xml:space="preserve">salaries</t>
        </is>
      </c>
      <c r="F673" s="4">
        <v>-330478</v>
      </c>
      <c r="G673" s="0" t="str">
        <f>"jul26"</f>
        <v>jul26</v>
      </c>
    </row>
    <row r="674">
      <c r="A674" s="0" t="inlineStr">
        <is>
          <t xml:space="preserve">j00673</t>
        </is>
      </c>
      <c r="B674" s="16">
        <v>46231</v>
      </c>
      <c r="C674" s="0" t="inlineStr">
        <is>
          <t xml:space="preserve">uk</t>
        </is>
      </c>
      <c r="D674" s="0" t="inlineStr">
        <is>
          <t xml:space="preserve">engineering</t>
        </is>
      </c>
      <c r="E674" s="0" t="inlineStr">
        <is>
          <t xml:space="preserve">benefits</t>
        </is>
      </c>
      <c r="F674" s="4">
        <v>-60587</v>
      </c>
      <c r="G674" s="0" t="str">
        <f>"jul26"</f>
        <v>jul26</v>
      </c>
    </row>
    <row r="675">
      <c r="A675" s="0" t="inlineStr">
        <is>
          <t xml:space="preserve">j00674</t>
        </is>
      </c>
      <c r="B675" s="16">
        <v>46218</v>
      </c>
      <c r="C675" s="0" t="inlineStr">
        <is>
          <t xml:space="preserve">uk</t>
        </is>
      </c>
      <c r="D675" s="0" t="inlineStr">
        <is>
          <t xml:space="preserve">engineering</t>
        </is>
      </c>
      <c r="E675" s="0" t="inlineStr">
        <is>
          <t xml:space="preserve">contractors</t>
        </is>
      </c>
      <c r="F675" s="4">
        <v>-9990</v>
      </c>
      <c r="G675" s="0" t="str">
        <f>"jul26"</f>
        <v>jul26</v>
      </c>
    </row>
    <row r="676">
      <c r="A676" s="0" t="inlineStr">
        <is>
          <t xml:space="preserve">j00675</t>
        </is>
      </c>
      <c r="B676" s="16">
        <v>46208</v>
      </c>
      <c r="C676" s="0" t="inlineStr">
        <is>
          <t xml:space="preserve">uk</t>
        </is>
      </c>
      <c r="D676" s="0" t="inlineStr">
        <is>
          <t xml:space="preserve">engineering</t>
        </is>
      </c>
      <c r="E676" s="0" t="inlineStr">
        <is>
          <t xml:space="preserve">contractors</t>
        </is>
      </c>
      <c r="F676" s="4">
        <v>-9038</v>
      </c>
      <c r="G676" s="0" t="str">
        <f>"jul26"</f>
        <v>jul26</v>
      </c>
    </row>
    <row r="677">
      <c r="A677" s="0" t="inlineStr">
        <is>
          <t xml:space="preserve">j00676</t>
        </is>
      </c>
      <c r="B677" s="16">
        <v>46208</v>
      </c>
      <c r="C677" s="0" t="inlineStr">
        <is>
          <t xml:space="preserve">uk</t>
        </is>
      </c>
      <c r="D677" s="0" t="inlineStr">
        <is>
          <t xml:space="preserve">engineering</t>
        </is>
      </c>
      <c r="E677" s="0" t="inlineStr">
        <is>
          <t xml:space="preserve">contractors</t>
        </is>
      </c>
      <c r="F677" s="4">
        <v>-6612</v>
      </c>
      <c r="G677" s="0" t="str">
        <f>"jul26"</f>
        <v>jul26</v>
      </c>
    </row>
    <row r="678">
      <c r="A678" s="0" t="inlineStr">
        <is>
          <t xml:space="preserve">j00677</t>
        </is>
      </c>
      <c r="B678" s="16">
        <v>46208</v>
      </c>
      <c r="C678" s="0" t="inlineStr">
        <is>
          <t xml:space="preserve">uk</t>
        </is>
      </c>
      <c r="D678" s="0" t="inlineStr">
        <is>
          <t xml:space="preserve">engineering</t>
        </is>
      </c>
      <c r="E678" s="0" t="inlineStr">
        <is>
          <t xml:space="preserve">software</t>
        </is>
      </c>
      <c r="F678" s="4">
        <v>-3656</v>
      </c>
      <c r="G678" s="0" t="str">
        <f>"jul26"</f>
        <v>jul26</v>
      </c>
    </row>
    <row r="679">
      <c r="A679" s="0" t="inlineStr">
        <is>
          <t xml:space="preserve">j00678</t>
        </is>
      </c>
      <c r="B679" s="16">
        <v>46208</v>
      </c>
      <c r="C679" s="0" t="inlineStr">
        <is>
          <t xml:space="preserve">uk</t>
        </is>
      </c>
      <c r="D679" s="0" t="inlineStr">
        <is>
          <t xml:space="preserve">engineering</t>
        </is>
      </c>
      <c r="E679" s="0" t="inlineStr">
        <is>
          <t xml:space="preserve">software</t>
        </is>
      </c>
      <c r="F679" s="4">
        <v>-5144</v>
      </c>
      <c r="G679" s="0" t="str">
        <f>"jul26"</f>
        <v>jul26</v>
      </c>
    </row>
    <row r="680">
      <c r="A680" s="0" t="inlineStr">
        <is>
          <t xml:space="preserve">j00679</t>
        </is>
      </c>
      <c r="B680" s="16">
        <v>46228</v>
      </c>
      <c r="C680" s="0" t="inlineStr">
        <is>
          <t xml:space="preserve">uk</t>
        </is>
      </c>
      <c r="D680" s="0" t="inlineStr">
        <is>
          <t xml:space="preserve">customer_success</t>
        </is>
      </c>
      <c r="E680" s="0" t="inlineStr">
        <is>
          <t xml:space="preserve">salaries</t>
        </is>
      </c>
      <c r="F680" s="4">
        <v>-47230</v>
      </c>
      <c r="G680" s="0" t="str">
        <f>"jul26"</f>
        <v>jul26</v>
      </c>
    </row>
    <row r="681">
      <c r="A681" s="0" t="inlineStr">
        <is>
          <t xml:space="preserve">j00680</t>
        </is>
      </c>
      <c r="B681" s="16">
        <v>46223</v>
      </c>
      <c r="C681" s="0" t="inlineStr">
        <is>
          <t xml:space="preserve">uk</t>
        </is>
      </c>
      <c r="D681" s="0" t="inlineStr">
        <is>
          <t xml:space="preserve">customer_success</t>
        </is>
      </c>
      <c r="E681" s="0" t="inlineStr">
        <is>
          <t xml:space="preserve">benefits</t>
        </is>
      </c>
      <c r="F681" s="4">
        <v>-10063</v>
      </c>
      <c r="G681" s="0" t="str">
        <f>"jul26"</f>
        <v>jul26</v>
      </c>
    </row>
    <row r="682">
      <c r="A682" s="0" t="inlineStr">
        <is>
          <t xml:space="preserve">j00681</t>
        </is>
      </c>
      <c r="B682" s="16">
        <v>46208</v>
      </c>
      <c r="C682" s="0" t="inlineStr">
        <is>
          <t xml:space="preserve">uk</t>
        </is>
      </c>
      <c r="D682" s="0" t="inlineStr">
        <is>
          <t xml:space="preserve">customer_success</t>
        </is>
      </c>
      <c r="E682" s="0" t="inlineStr">
        <is>
          <t xml:space="preserve">software</t>
        </is>
      </c>
      <c r="F682" s="4">
        <v>-2995</v>
      </c>
      <c r="G682" s="0" t="str">
        <f>"jul26"</f>
        <v>jul26</v>
      </c>
    </row>
    <row r="683">
      <c r="A683" s="0" t="inlineStr">
        <is>
          <t xml:space="preserve">j00682</t>
        </is>
      </c>
      <c r="B683" s="16">
        <v>46231</v>
      </c>
      <c r="C683" s="0" t="inlineStr">
        <is>
          <t xml:space="preserve">uk</t>
        </is>
      </c>
      <c r="D683" s="0" t="inlineStr">
        <is>
          <t xml:space="preserve">customer_success</t>
        </is>
      </c>
      <c r="E683" s="0" t="inlineStr">
        <is>
          <t xml:space="preserve">travel</t>
        </is>
      </c>
      <c r="F683" s="4">
        <v>-442</v>
      </c>
      <c r="G683" s="0" t="str">
        <f>"jul26"</f>
        <v>jul26</v>
      </c>
    </row>
    <row r="684">
      <c r="A684" s="0" t="inlineStr">
        <is>
          <t xml:space="preserve">j00683</t>
        </is>
      </c>
      <c r="B684" s="16">
        <v>46223</v>
      </c>
      <c r="C684" s="0" t="inlineStr">
        <is>
          <t xml:space="preserve">uk</t>
        </is>
      </c>
      <c r="D684" s="0" t="inlineStr">
        <is>
          <t xml:space="preserve">customer_success</t>
        </is>
      </c>
      <c r="E684" s="0" t="inlineStr">
        <is>
          <t xml:space="preserve">travel</t>
        </is>
      </c>
      <c r="F684" s="4">
        <v>-656</v>
      </c>
      <c r="G684" s="0" t="str">
        <f>"jul26"</f>
        <v>jul26</v>
      </c>
    </row>
    <row r="685">
      <c r="A685" s="0" t="inlineStr">
        <is>
          <t xml:space="preserve">j00684</t>
        </is>
      </c>
      <c r="B685" s="16">
        <v>46208</v>
      </c>
      <c r="C685" s="0" t="inlineStr">
        <is>
          <t xml:space="preserve">uk</t>
        </is>
      </c>
      <c r="D685" s="0" t="inlineStr">
        <is>
          <t xml:space="preserve">customer_success</t>
        </is>
      </c>
      <c r="E685" s="0" t="inlineStr">
        <is>
          <t xml:space="preserve">travel</t>
        </is>
      </c>
      <c r="F685" s="4">
        <v>-495</v>
      </c>
      <c r="G685" s="0" t="str">
        <f>"jul26"</f>
        <v>jul26</v>
      </c>
    </row>
    <row r="686">
      <c r="A686" s="0" t="inlineStr">
        <is>
          <t xml:space="preserve">j00685</t>
        </is>
      </c>
      <c r="B686" s="16">
        <v>46228</v>
      </c>
      <c r="C686" s="0" t="inlineStr">
        <is>
          <t xml:space="preserve">uk</t>
        </is>
      </c>
      <c r="D686" s="0" t="inlineStr">
        <is>
          <t xml:space="preserve">g_and_a</t>
        </is>
      </c>
      <c r="E686" s="0" t="inlineStr">
        <is>
          <t xml:space="preserve">salaries</t>
        </is>
      </c>
      <c r="F686" s="4">
        <v>-41177</v>
      </c>
      <c r="G686" s="0" t="str">
        <f>"jul26"</f>
        <v>jul26</v>
      </c>
    </row>
    <row r="687">
      <c r="A687" s="0" t="inlineStr">
        <is>
          <t xml:space="preserve">j00686</t>
        </is>
      </c>
      <c r="B687" s="16">
        <v>46218</v>
      </c>
      <c r="C687" s="0" t="inlineStr">
        <is>
          <t xml:space="preserve">uk</t>
        </is>
      </c>
      <c r="D687" s="0" t="inlineStr">
        <is>
          <t xml:space="preserve">g_and_a</t>
        </is>
      </c>
      <c r="E687" s="0" t="inlineStr">
        <is>
          <t xml:space="preserve">benefits</t>
        </is>
      </c>
      <c r="F687" s="4">
        <v>-9259</v>
      </c>
      <c r="G687" s="0" t="str">
        <f>"jul26"</f>
        <v>jul26</v>
      </c>
    </row>
    <row r="688">
      <c r="A688" s="0" t="inlineStr">
        <is>
          <t xml:space="preserve">j00687</t>
        </is>
      </c>
      <c r="B688" s="16">
        <v>46218</v>
      </c>
      <c r="C688" s="0" t="inlineStr">
        <is>
          <t xml:space="preserve">uk</t>
        </is>
      </c>
      <c r="D688" s="0" t="inlineStr">
        <is>
          <t xml:space="preserve">g_and_a</t>
        </is>
      </c>
      <c r="E688" s="0" t="inlineStr">
        <is>
          <t xml:space="preserve">rent</t>
        </is>
      </c>
      <c r="F688" s="4">
        <v>-38377</v>
      </c>
      <c r="G688" s="0" t="str">
        <f>"jul26"</f>
        <v>jul26</v>
      </c>
    </row>
    <row r="689">
      <c r="A689" s="0" t="inlineStr">
        <is>
          <t xml:space="preserve">j00688</t>
        </is>
      </c>
      <c r="B689" s="16">
        <v>46218</v>
      </c>
      <c r="C689" s="0" t="inlineStr">
        <is>
          <t xml:space="preserve">uk</t>
        </is>
      </c>
      <c r="D689" s="0" t="inlineStr">
        <is>
          <t xml:space="preserve">g_and_a</t>
        </is>
      </c>
      <c r="E689" s="0" t="inlineStr">
        <is>
          <t xml:space="preserve">professional_fees</t>
        </is>
      </c>
      <c r="F689" s="4">
        <v>-15403</v>
      </c>
      <c r="G689" s="0" t="str">
        <f>"jul26"</f>
        <v>jul26</v>
      </c>
    </row>
    <row r="690">
      <c r="A690" s="0" t="inlineStr">
        <is>
          <t xml:space="preserve">j00689</t>
        </is>
      </c>
      <c r="B690" s="16">
        <v>46215</v>
      </c>
      <c r="C690" s="0" t="inlineStr">
        <is>
          <t xml:space="preserve">uk</t>
        </is>
      </c>
      <c r="D690" s="0" t="inlineStr">
        <is>
          <t xml:space="preserve">g_and_a</t>
        </is>
      </c>
      <c r="E690" s="0" t="inlineStr">
        <is>
          <t xml:space="preserve">software</t>
        </is>
      </c>
      <c r="F690" s="4">
        <v>-1205</v>
      </c>
      <c r="G690" s="0" t="str">
        <f>"jul26"</f>
        <v>jul26</v>
      </c>
    </row>
    <row r="691">
      <c r="A691" s="0" t="inlineStr">
        <is>
          <t xml:space="preserve">j00690</t>
        </is>
      </c>
      <c r="B691" s="16">
        <v>46208</v>
      </c>
      <c r="C691" s="0" t="inlineStr">
        <is>
          <t xml:space="preserve">uk</t>
        </is>
      </c>
      <c r="D691" s="0" t="inlineStr">
        <is>
          <t xml:space="preserve">g_and_a</t>
        </is>
      </c>
      <c r="E691" s="0" t="inlineStr">
        <is>
          <t xml:space="preserve">software</t>
        </is>
      </c>
      <c r="F691" s="4">
        <v>-1801</v>
      </c>
      <c r="G691" s="0" t="str">
        <f>"jul26"</f>
        <v>jul26</v>
      </c>
    </row>
    <row r="692">
      <c r="A692" s="0" t="inlineStr">
        <is>
          <t xml:space="preserve">j00691</t>
        </is>
      </c>
      <c r="B692" s="16">
        <v>46208</v>
      </c>
      <c r="C692" s="0" t="inlineStr">
        <is>
          <t xml:space="preserve">uk</t>
        </is>
      </c>
      <c r="D692" s="0" t="inlineStr">
        <is>
          <t xml:space="preserve">g_and_a</t>
        </is>
      </c>
      <c r="E692" s="0" t="inlineStr">
        <is>
          <t xml:space="preserve">software</t>
        </is>
      </c>
      <c r="F692" s="4">
        <v>-1706</v>
      </c>
      <c r="G692" s="0" t="str">
        <f>"jul26"</f>
        <v>jul26</v>
      </c>
    </row>
    <row r="693">
      <c r="A693" s="0" t="inlineStr">
        <is>
          <t xml:space="preserve">j00692</t>
        </is>
      </c>
      <c r="B693" s="16">
        <v>46231</v>
      </c>
      <c r="C693" s="0" t="inlineStr">
        <is>
          <t xml:space="preserve">uk</t>
        </is>
      </c>
      <c r="D693" s="0" t="inlineStr">
        <is>
          <t xml:space="preserve">g_and_a</t>
        </is>
      </c>
      <c r="E693" s="0" t="inlineStr">
        <is>
          <t xml:space="preserve">travel</t>
        </is>
      </c>
      <c r="F693" s="4">
        <v>-2553</v>
      </c>
      <c r="G693" s="0" t="str">
        <f>"jul26"</f>
        <v>jul26</v>
      </c>
    </row>
    <row r="694">
      <c r="A694" s="0" t="inlineStr">
        <is>
          <t xml:space="preserve">j00693</t>
        </is>
      </c>
      <c r="B694" s="16">
        <v>46231</v>
      </c>
      <c r="C694" s="0" t="inlineStr">
        <is>
          <t xml:space="preserve">uk</t>
        </is>
      </c>
      <c r="D694" s="0" t="inlineStr">
        <is>
          <t xml:space="preserve">sales</t>
        </is>
      </c>
      <c r="E694" s="0" t="inlineStr">
        <is>
          <t xml:space="preserve">commissions</t>
        </is>
      </c>
      <c r="F694" s="4">
        <v>-45063</v>
      </c>
      <c r="G694" s="0" t="str">
        <f>"jul26"</f>
        <v>jul26</v>
      </c>
    </row>
    <row r="695">
      <c r="A695" s="0" t="inlineStr">
        <is>
          <t xml:space="preserve">j00694</t>
        </is>
      </c>
      <c r="B695" s="16">
        <v>46231</v>
      </c>
      <c r="C695" s="0" t="inlineStr">
        <is>
          <t xml:space="preserve">uk</t>
        </is>
      </c>
      <c r="D695" s="0" t="inlineStr">
        <is>
          <t xml:space="preserve">sales</t>
        </is>
      </c>
      <c r="E695" s="0" t="inlineStr">
        <is>
          <t xml:space="preserve">commissions</t>
        </is>
      </c>
      <c r="F695" s="4">
        <v>-41247</v>
      </c>
      <c r="G695" s="0" t="str">
        <f>"jul26"</f>
        <v>jul26</v>
      </c>
    </row>
    <row r="696">
      <c r="A696" s="0" t="inlineStr">
        <is>
          <t xml:space="preserve">j00695</t>
        </is>
      </c>
      <c r="B696" s="16">
        <v>46231</v>
      </c>
      <c r="C696" s="0" t="inlineStr">
        <is>
          <t xml:space="preserve">uk</t>
        </is>
      </c>
      <c r="D696" s="0" t="inlineStr">
        <is>
          <t xml:space="preserve">marketing</t>
        </is>
      </c>
      <c r="E696" s="0" t="inlineStr">
        <is>
          <t xml:space="preserve">marketing_programs</t>
        </is>
      </c>
      <c r="F696" s="4">
        <v>-147070</v>
      </c>
      <c r="G696" s="0" t="str">
        <f>"jul26"</f>
        <v>jul26</v>
      </c>
    </row>
    <row r="697">
      <c r="A697" s="0" t="inlineStr">
        <is>
          <t xml:space="preserve">j00696</t>
        </is>
      </c>
      <c r="B697" s="16">
        <v>46218</v>
      </c>
      <c r="C697" s="0" t="inlineStr">
        <is>
          <t xml:space="preserve">uk</t>
        </is>
      </c>
      <c r="D697" s="0" t="inlineStr">
        <is>
          <t xml:space="preserve">engineering</t>
        </is>
      </c>
      <c r="E697" s="0" t="inlineStr">
        <is>
          <t xml:space="preserve">cloud</t>
        </is>
      </c>
      <c r="F697" s="4">
        <v>-93762</v>
      </c>
      <c r="G697" s="0" t="str">
        <f>"jul26"</f>
        <v>jul26</v>
      </c>
    </row>
    <row r="698">
      <c r="A698" s="0" t="inlineStr">
        <is>
          <t xml:space="preserve">j00697</t>
        </is>
      </c>
      <c r="B698" s="16">
        <v>46215</v>
      </c>
      <c r="C698" s="0" t="inlineStr">
        <is>
          <t xml:space="preserve">uk</t>
        </is>
      </c>
      <c r="D698" s="0" t="inlineStr">
        <is>
          <t xml:space="preserve">engineering</t>
        </is>
      </c>
      <c r="E698" s="0" t="inlineStr">
        <is>
          <t xml:space="preserve">cloud</t>
        </is>
      </c>
      <c r="F698" s="4">
        <v>-64093</v>
      </c>
      <c r="G698" s="0" t="str">
        <f>"jul26"</f>
        <v>jul26</v>
      </c>
    </row>
    <row r="699">
      <c r="A699" s="0" t="inlineStr">
        <is>
          <t xml:space="preserve">j00698</t>
        </is>
      </c>
      <c r="B699" s="16">
        <v>46254</v>
      </c>
      <c r="C699" s="0" t="inlineStr">
        <is>
          <t xml:space="preserve">uk</t>
        </is>
      </c>
      <c r="D699" s="0" t="inlineStr">
        <is>
          <t xml:space="preserve">company</t>
        </is>
      </c>
      <c r="E699" s="0" t="inlineStr">
        <is>
          <t xml:space="preserve">revenue</t>
        </is>
      </c>
      <c r="F699" s="4">
        <v>970160</v>
      </c>
      <c r="G699" s="0" t="str">
        <f>"aug26"</f>
        <v>aug26</v>
      </c>
    </row>
    <row r="700">
      <c r="A700" s="0" t="inlineStr">
        <is>
          <t xml:space="preserve">j00699</t>
        </is>
      </c>
      <c r="B700" s="16">
        <v>46262</v>
      </c>
      <c r="C700" s="0" t="inlineStr">
        <is>
          <t xml:space="preserve">uk</t>
        </is>
      </c>
      <c r="D700" s="0" t="inlineStr">
        <is>
          <t xml:space="preserve">company</t>
        </is>
      </c>
      <c r="E700" s="0" t="inlineStr">
        <is>
          <t xml:space="preserve">revenue</t>
        </is>
      </c>
      <c r="F700" s="4">
        <v>973389</v>
      </c>
      <c r="G700" s="0" t="str">
        <f>"aug26"</f>
        <v>aug26</v>
      </c>
    </row>
    <row r="701">
      <c r="A701" s="0" t="inlineStr">
        <is>
          <t xml:space="preserve">j00700</t>
        </is>
      </c>
      <c r="B701" s="16">
        <v>46262</v>
      </c>
      <c r="C701" s="0" t="inlineStr">
        <is>
          <t xml:space="preserve">uk</t>
        </is>
      </c>
      <c r="D701" s="0" t="inlineStr">
        <is>
          <t xml:space="preserve">company</t>
        </is>
      </c>
      <c r="E701" s="0" t="inlineStr">
        <is>
          <t xml:space="preserve">cogs_hosting</t>
        </is>
      </c>
      <c r="F701" s="4">
        <v>-181548</v>
      </c>
      <c r="G701" s="0" t="str">
        <f>"aug26"</f>
        <v>aug26</v>
      </c>
    </row>
    <row r="702">
      <c r="A702" s="0" t="inlineStr">
        <is>
          <t xml:space="preserve">j00701</t>
        </is>
      </c>
      <c r="B702" s="16">
        <v>46249</v>
      </c>
      <c r="C702" s="0" t="inlineStr">
        <is>
          <t xml:space="preserve">uk</t>
        </is>
      </c>
      <c r="D702" s="0" t="inlineStr">
        <is>
          <t xml:space="preserve">company</t>
        </is>
      </c>
      <c r="E702" s="0" t="inlineStr">
        <is>
          <t xml:space="preserve">cogs_hosting</t>
        </is>
      </c>
      <c r="F702" s="4">
        <v>-62306</v>
      </c>
      <c r="G702" s="0" t="str">
        <f>"aug26"</f>
        <v>aug26</v>
      </c>
    </row>
    <row r="703">
      <c r="A703" s="0" t="inlineStr">
        <is>
          <t xml:space="preserve">j00702</t>
        </is>
      </c>
      <c r="B703" s="16">
        <v>46262</v>
      </c>
      <c r="C703" s="0" t="inlineStr">
        <is>
          <t xml:space="preserve">uk</t>
        </is>
      </c>
      <c r="D703" s="0" t="inlineStr">
        <is>
          <t xml:space="preserve">company</t>
        </is>
      </c>
      <c r="E703" s="0" t="inlineStr">
        <is>
          <t xml:space="preserve">cogs_support</t>
        </is>
      </c>
      <c r="F703" s="4">
        <v>-58308</v>
      </c>
      <c r="G703" s="0" t="str">
        <f>"aug26"</f>
        <v>aug26</v>
      </c>
    </row>
    <row r="704">
      <c r="A704" s="0" t="inlineStr">
        <is>
          <t xml:space="preserve">j00703</t>
        </is>
      </c>
      <c r="B704" s="16">
        <v>46239</v>
      </c>
      <c r="C704" s="0" t="inlineStr">
        <is>
          <t xml:space="preserve">uk</t>
        </is>
      </c>
      <c r="D704" s="0" t="inlineStr">
        <is>
          <t xml:space="preserve">company</t>
        </is>
      </c>
      <c r="E704" s="0" t="inlineStr">
        <is>
          <t xml:space="preserve">cogs_support</t>
        </is>
      </c>
      <c r="F704" s="4">
        <v>-43302</v>
      </c>
      <c r="G704" s="0" t="str">
        <f>"aug26"</f>
        <v>aug26</v>
      </c>
    </row>
    <row r="705">
      <c r="A705" s="0" t="inlineStr">
        <is>
          <t xml:space="preserve">j00704</t>
        </is>
      </c>
      <c r="B705" s="16">
        <v>46259</v>
      </c>
      <c r="C705" s="0" t="inlineStr">
        <is>
          <t xml:space="preserve">uk</t>
        </is>
      </c>
      <c r="D705" s="0" t="inlineStr">
        <is>
          <t xml:space="preserve">sales</t>
        </is>
      </c>
      <c r="E705" s="0" t="inlineStr">
        <is>
          <t xml:space="preserve">salaries</t>
        </is>
      </c>
      <c r="F705" s="4">
        <v>-102538</v>
      </c>
      <c r="G705" s="0" t="str">
        <f>"aug26"</f>
        <v>aug26</v>
      </c>
    </row>
    <row r="706">
      <c r="A706" s="0" t="inlineStr">
        <is>
          <t xml:space="preserve">j00705</t>
        </is>
      </c>
      <c r="B706" s="16">
        <v>46254</v>
      </c>
      <c r="C706" s="0" t="inlineStr">
        <is>
          <t xml:space="preserve">uk</t>
        </is>
      </c>
      <c r="D706" s="0" t="inlineStr">
        <is>
          <t xml:space="preserve">sales</t>
        </is>
      </c>
      <c r="E706" s="0" t="inlineStr">
        <is>
          <t xml:space="preserve">benefits</t>
        </is>
      </c>
      <c r="F706" s="4">
        <v>-22346</v>
      </c>
      <c r="G706" s="0" t="str">
        <f>"aug26"</f>
        <v>aug26</v>
      </c>
    </row>
    <row r="707">
      <c r="A707" s="0" t="inlineStr">
        <is>
          <t xml:space="preserve">j00706</t>
        </is>
      </c>
      <c r="B707" s="16">
        <v>46254</v>
      </c>
      <c r="C707" s="0" t="inlineStr">
        <is>
          <t xml:space="preserve">uk</t>
        </is>
      </c>
      <c r="D707" s="0" t="inlineStr">
        <is>
          <t xml:space="preserve">sales</t>
        </is>
      </c>
      <c r="E707" s="0" t="inlineStr">
        <is>
          <t xml:space="preserve">travel</t>
        </is>
      </c>
      <c r="F707" s="4">
        <v>-6528</v>
      </c>
      <c r="G707" s="0" t="str">
        <f>"aug26"</f>
        <v>aug26</v>
      </c>
    </row>
    <row r="708">
      <c r="A708" s="0" t="inlineStr">
        <is>
          <t xml:space="preserve">j00707</t>
        </is>
      </c>
      <c r="B708" s="16">
        <v>46246</v>
      </c>
      <c r="C708" s="0" t="inlineStr">
        <is>
          <t xml:space="preserve">uk</t>
        </is>
      </c>
      <c r="D708" s="0" t="inlineStr">
        <is>
          <t xml:space="preserve">sales</t>
        </is>
      </c>
      <c r="E708" s="0" t="inlineStr">
        <is>
          <t xml:space="preserve">travel</t>
        </is>
      </c>
      <c r="F708" s="4">
        <v>-11283</v>
      </c>
      <c r="G708" s="0" t="str">
        <f>"aug26"</f>
        <v>aug26</v>
      </c>
    </row>
    <row r="709">
      <c r="A709" s="0" t="inlineStr">
        <is>
          <t xml:space="preserve">j00708</t>
        </is>
      </c>
      <c r="B709" s="16">
        <v>46239</v>
      </c>
      <c r="C709" s="0" t="inlineStr">
        <is>
          <t xml:space="preserve">uk</t>
        </is>
      </c>
      <c r="D709" s="0" t="inlineStr">
        <is>
          <t xml:space="preserve">sales</t>
        </is>
      </c>
      <c r="E709" s="0" t="inlineStr">
        <is>
          <t xml:space="preserve">software</t>
        </is>
      </c>
      <c r="F709" s="4">
        <v>-1450</v>
      </c>
      <c r="G709" s="0" t="str">
        <f>"aug26"</f>
        <v>aug26</v>
      </c>
    </row>
    <row r="710">
      <c r="A710" s="0" t="inlineStr">
        <is>
          <t xml:space="preserve">j00709</t>
        </is>
      </c>
      <c r="B710" s="16">
        <v>46262</v>
      </c>
      <c r="C710" s="0" t="inlineStr">
        <is>
          <t xml:space="preserve">uk</t>
        </is>
      </c>
      <c r="D710" s="0" t="inlineStr">
        <is>
          <t xml:space="preserve">sales</t>
        </is>
      </c>
      <c r="E710" s="0" t="inlineStr">
        <is>
          <t xml:space="preserve">software</t>
        </is>
      </c>
      <c r="F710" s="4">
        <v>-2496</v>
      </c>
      <c r="G710" s="0" t="str">
        <f>"aug26"</f>
        <v>aug26</v>
      </c>
    </row>
    <row r="711">
      <c r="A711" s="0" t="inlineStr">
        <is>
          <t xml:space="preserve">j00710</t>
        </is>
      </c>
      <c r="B711" s="16">
        <v>46259</v>
      </c>
      <c r="C711" s="0" t="inlineStr">
        <is>
          <t xml:space="preserve">uk</t>
        </is>
      </c>
      <c r="D711" s="0" t="inlineStr">
        <is>
          <t xml:space="preserve">marketing</t>
        </is>
      </c>
      <c r="E711" s="0" t="inlineStr">
        <is>
          <t xml:space="preserve">salaries</t>
        </is>
      </c>
      <c r="F711" s="4">
        <v>-57649</v>
      </c>
      <c r="G711" s="0" t="str">
        <f>"aug26"</f>
        <v>aug26</v>
      </c>
    </row>
    <row r="712">
      <c r="A712" s="0" t="inlineStr">
        <is>
          <t xml:space="preserve">j00711</t>
        </is>
      </c>
      <c r="B712" s="16">
        <v>46249</v>
      </c>
      <c r="C712" s="0" t="inlineStr">
        <is>
          <t xml:space="preserve">uk</t>
        </is>
      </c>
      <c r="D712" s="0" t="inlineStr">
        <is>
          <t xml:space="preserve">marketing</t>
        </is>
      </c>
      <c r="E712" s="0" t="inlineStr">
        <is>
          <t xml:space="preserve">benefits</t>
        </is>
      </c>
      <c r="F712" s="4">
        <v>-12349</v>
      </c>
      <c r="G712" s="0" t="str">
        <f>"aug26"</f>
        <v>aug26</v>
      </c>
    </row>
    <row r="713">
      <c r="A713" s="0" t="inlineStr">
        <is>
          <t xml:space="preserve">j00712</t>
        </is>
      </c>
      <c r="B713" s="16">
        <v>46239</v>
      </c>
      <c r="C713" s="0" t="inlineStr">
        <is>
          <t xml:space="preserve">uk</t>
        </is>
      </c>
      <c r="D713" s="0" t="inlineStr">
        <is>
          <t xml:space="preserve">marketing</t>
        </is>
      </c>
      <c r="E713" s="0" t="inlineStr">
        <is>
          <t xml:space="preserve">software</t>
        </is>
      </c>
      <c r="F713" s="4">
        <v>-1108</v>
      </c>
      <c r="G713" s="0" t="str">
        <f>"aug26"</f>
        <v>aug26</v>
      </c>
    </row>
    <row r="714">
      <c r="A714" s="0" t="inlineStr">
        <is>
          <t xml:space="preserve">j00713</t>
        </is>
      </c>
      <c r="B714" s="16">
        <v>46254</v>
      </c>
      <c r="C714" s="0" t="inlineStr">
        <is>
          <t xml:space="preserve">uk</t>
        </is>
      </c>
      <c r="D714" s="0" t="inlineStr">
        <is>
          <t xml:space="preserve">marketing</t>
        </is>
      </c>
      <c r="E714" s="0" t="inlineStr">
        <is>
          <t xml:space="preserve">software</t>
        </is>
      </c>
      <c r="F714" s="4">
        <v>-1951</v>
      </c>
      <c r="G714" s="0" t="str">
        <f>"aug26"</f>
        <v>aug26</v>
      </c>
    </row>
    <row r="715">
      <c r="A715" s="0" t="inlineStr">
        <is>
          <t xml:space="preserve">j00714</t>
        </is>
      </c>
      <c r="B715" s="16">
        <v>46262</v>
      </c>
      <c r="C715" s="0" t="inlineStr">
        <is>
          <t xml:space="preserve">uk</t>
        </is>
      </c>
      <c r="D715" s="0" t="inlineStr">
        <is>
          <t xml:space="preserve">marketing</t>
        </is>
      </c>
      <c r="E715" s="0" t="inlineStr">
        <is>
          <t xml:space="preserve">software</t>
        </is>
      </c>
      <c r="F715" s="4">
        <v>-3174</v>
      </c>
      <c r="G715" s="0" t="str">
        <f>"aug26"</f>
        <v>aug26</v>
      </c>
    </row>
    <row r="716">
      <c r="A716" s="0" t="inlineStr">
        <is>
          <t xml:space="preserve">j00715</t>
        </is>
      </c>
      <c r="B716" s="16">
        <v>46249</v>
      </c>
      <c r="C716" s="0" t="inlineStr">
        <is>
          <t xml:space="preserve">uk</t>
        </is>
      </c>
      <c r="D716" s="0" t="inlineStr">
        <is>
          <t xml:space="preserve">marketing</t>
        </is>
      </c>
      <c r="E716" s="0" t="inlineStr">
        <is>
          <t xml:space="preserve">travel</t>
        </is>
      </c>
      <c r="F716" s="4">
        <v>-2231</v>
      </c>
      <c r="G716" s="0" t="str">
        <f>"aug26"</f>
        <v>aug26</v>
      </c>
    </row>
    <row r="717">
      <c r="A717" s="0" t="inlineStr">
        <is>
          <t xml:space="preserve">j00716</t>
        </is>
      </c>
      <c r="B717" s="16">
        <v>46246</v>
      </c>
      <c r="C717" s="0" t="inlineStr">
        <is>
          <t xml:space="preserve">uk</t>
        </is>
      </c>
      <c r="D717" s="0" t="inlineStr">
        <is>
          <t xml:space="preserve">marketing</t>
        </is>
      </c>
      <c r="E717" s="0" t="inlineStr">
        <is>
          <t xml:space="preserve">travel</t>
        </is>
      </c>
      <c r="F717" s="4">
        <v>-1985</v>
      </c>
      <c r="G717" s="0" t="str">
        <f>"aug26"</f>
        <v>aug26</v>
      </c>
    </row>
    <row r="718">
      <c r="A718" s="0" t="inlineStr">
        <is>
          <t xml:space="preserve">j00717</t>
        </is>
      </c>
      <c r="B718" s="16">
        <v>46246</v>
      </c>
      <c r="C718" s="0" t="inlineStr">
        <is>
          <t xml:space="preserve">uk</t>
        </is>
      </c>
      <c r="D718" s="0" t="inlineStr">
        <is>
          <t xml:space="preserve">marketing</t>
        </is>
      </c>
      <c r="E718" s="0" t="inlineStr">
        <is>
          <t xml:space="preserve">travel</t>
        </is>
      </c>
      <c r="F718" s="4">
        <v>-993</v>
      </c>
      <c r="G718" s="0" t="str">
        <f>"aug26"</f>
        <v>aug26</v>
      </c>
    </row>
    <row r="719">
      <c r="A719" s="0" t="inlineStr">
        <is>
          <t xml:space="preserve">j00718</t>
        </is>
      </c>
      <c r="B719" s="16">
        <v>46259</v>
      </c>
      <c r="C719" s="0" t="inlineStr">
        <is>
          <t xml:space="preserve">uk</t>
        </is>
      </c>
      <c r="D719" s="0" t="inlineStr">
        <is>
          <t xml:space="preserve">engineering</t>
        </is>
      </c>
      <c r="E719" s="0" t="inlineStr">
        <is>
          <t xml:space="preserve">salaries</t>
        </is>
      </c>
      <c r="F719" s="4">
        <v>-274849</v>
      </c>
      <c r="G719" s="0" t="str">
        <f>"aug26"</f>
        <v>aug26</v>
      </c>
    </row>
    <row r="720">
      <c r="A720" s="0" t="inlineStr">
        <is>
          <t xml:space="preserve">j00719</t>
        </is>
      </c>
      <c r="B720" s="16">
        <v>46246</v>
      </c>
      <c r="C720" s="0" t="inlineStr">
        <is>
          <t xml:space="preserve">uk</t>
        </is>
      </c>
      <c r="D720" s="0" t="inlineStr">
        <is>
          <t xml:space="preserve">engineering</t>
        </is>
      </c>
      <c r="E720" s="0" t="inlineStr">
        <is>
          <t xml:space="preserve">benefits</t>
        </is>
      </c>
      <c r="F720" s="4">
        <v>-55618</v>
      </c>
      <c r="G720" s="0" t="str">
        <f>"aug26"</f>
        <v>aug26</v>
      </c>
    </row>
    <row r="721">
      <c r="A721" s="0" t="inlineStr">
        <is>
          <t xml:space="preserve">j00720</t>
        </is>
      </c>
      <c r="B721" s="16">
        <v>46254</v>
      </c>
      <c r="C721" s="0" t="inlineStr">
        <is>
          <t xml:space="preserve">uk</t>
        </is>
      </c>
      <c r="D721" s="0" t="inlineStr">
        <is>
          <t xml:space="preserve">engineering</t>
        </is>
      </c>
      <c r="E721" s="0" t="inlineStr">
        <is>
          <t xml:space="preserve">contractors</t>
        </is>
      </c>
      <c r="F721" s="4">
        <v>-25288</v>
      </c>
      <c r="G721" s="0" t="str">
        <f>"aug26"</f>
        <v>aug26</v>
      </c>
    </row>
    <row r="722">
      <c r="A722" s="0" t="inlineStr">
        <is>
          <t xml:space="preserve">j00721</t>
        </is>
      </c>
      <c r="B722" s="16">
        <v>46249</v>
      </c>
      <c r="C722" s="0" t="inlineStr">
        <is>
          <t xml:space="preserve">uk</t>
        </is>
      </c>
      <c r="D722" s="0" t="inlineStr">
        <is>
          <t xml:space="preserve">engineering</t>
        </is>
      </c>
      <c r="E722" s="0" t="inlineStr">
        <is>
          <t xml:space="preserve">software</t>
        </is>
      </c>
      <c r="F722" s="4">
        <v>-5110</v>
      </c>
      <c r="G722" s="0" t="str">
        <f>"aug26"</f>
        <v>aug26</v>
      </c>
    </row>
    <row r="723">
      <c r="A723" s="0" t="inlineStr">
        <is>
          <t xml:space="preserve">j00722</t>
        </is>
      </c>
      <c r="B723" s="16">
        <v>46239</v>
      </c>
      <c r="C723" s="0" t="inlineStr">
        <is>
          <t xml:space="preserve">uk</t>
        </is>
      </c>
      <c r="D723" s="0" t="inlineStr">
        <is>
          <t xml:space="preserve">engineering</t>
        </is>
      </c>
      <c r="E723" s="0" t="inlineStr">
        <is>
          <t xml:space="preserve">software</t>
        </is>
      </c>
      <c r="F723" s="4">
        <v>-1996</v>
      </c>
      <c r="G723" s="0" t="str">
        <f>"aug26"</f>
        <v>aug26</v>
      </c>
    </row>
    <row r="724">
      <c r="A724" s="0" t="inlineStr">
        <is>
          <t xml:space="preserve">j00723</t>
        </is>
      </c>
      <c r="B724" s="16">
        <v>46262</v>
      </c>
      <c r="C724" s="0" t="inlineStr">
        <is>
          <t xml:space="preserve">uk</t>
        </is>
      </c>
      <c r="D724" s="0" t="inlineStr">
        <is>
          <t xml:space="preserve">engineering</t>
        </is>
      </c>
      <c r="E724" s="0" t="inlineStr">
        <is>
          <t xml:space="preserve">software</t>
        </is>
      </c>
      <c r="F724" s="4">
        <v>-1668</v>
      </c>
      <c r="G724" s="0" t="str">
        <f>"aug26"</f>
        <v>aug26</v>
      </c>
    </row>
    <row r="725">
      <c r="A725" s="0" t="inlineStr">
        <is>
          <t xml:space="preserve">j00724</t>
        </is>
      </c>
      <c r="B725" s="16">
        <v>46259</v>
      </c>
      <c r="C725" s="0" t="inlineStr">
        <is>
          <t xml:space="preserve">uk</t>
        </is>
      </c>
      <c r="D725" s="0" t="inlineStr">
        <is>
          <t xml:space="preserve">customer_success</t>
        </is>
      </c>
      <c r="E725" s="0" t="inlineStr">
        <is>
          <t xml:space="preserve">salaries</t>
        </is>
      </c>
      <c r="F725" s="4">
        <v>-47453</v>
      </c>
      <c r="G725" s="0" t="str">
        <f>"aug26"</f>
        <v>aug26</v>
      </c>
    </row>
    <row r="726">
      <c r="A726" s="0" t="inlineStr">
        <is>
          <t xml:space="preserve">j00725</t>
        </is>
      </c>
      <c r="B726" s="16">
        <v>46249</v>
      </c>
      <c r="C726" s="0" t="inlineStr">
        <is>
          <t xml:space="preserve">uk</t>
        </is>
      </c>
      <c r="D726" s="0" t="inlineStr">
        <is>
          <t xml:space="preserve">customer_success</t>
        </is>
      </c>
      <c r="E726" s="0" t="inlineStr">
        <is>
          <t xml:space="preserve">benefits</t>
        </is>
      </c>
      <c r="F726" s="4">
        <v>-10896</v>
      </c>
      <c r="G726" s="0" t="str">
        <f>"aug26"</f>
        <v>aug26</v>
      </c>
    </row>
    <row r="727">
      <c r="A727" s="0" t="inlineStr">
        <is>
          <t xml:space="preserve">j00726</t>
        </is>
      </c>
      <c r="B727" s="16">
        <v>46254</v>
      </c>
      <c r="C727" s="0" t="inlineStr">
        <is>
          <t xml:space="preserve">uk</t>
        </is>
      </c>
      <c r="D727" s="0" t="inlineStr">
        <is>
          <t xml:space="preserve">customer_success</t>
        </is>
      </c>
      <c r="E727" s="0" t="inlineStr">
        <is>
          <t xml:space="preserve">software</t>
        </is>
      </c>
      <c r="F727" s="4">
        <v>-3186</v>
      </c>
      <c r="G727" s="0" t="str">
        <f>"aug26"</f>
        <v>aug26</v>
      </c>
    </row>
    <row r="728">
      <c r="A728" s="0" t="inlineStr">
        <is>
          <t xml:space="preserve">j00727</t>
        </is>
      </c>
      <c r="B728" s="16">
        <v>46262</v>
      </c>
      <c r="C728" s="0" t="inlineStr">
        <is>
          <t xml:space="preserve">uk</t>
        </is>
      </c>
      <c r="D728" s="0" t="inlineStr">
        <is>
          <t xml:space="preserve">customer_success</t>
        </is>
      </c>
      <c r="E728" s="0" t="inlineStr">
        <is>
          <t xml:space="preserve">travel</t>
        </is>
      </c>
      <c r="F728" s="4">
        <v>-704</v>
      </c>
      <c r="G728" s="0" t="str">
        <f>"aug26"</f>
        <v>aug26</v>
      </c>
    </row>
    <row r="729">
      <c r="A729" s="0" t="inlineStr">
        <is>
          <t xml:space="preserve">j00728</t>
        </is>
      </c>
      <c r="B729" s="16">
        <v>46249</v>
      </c>
      <c r="C729" s="0" t="inlineStr">
        <is>
          <t xml:space="preserve">uk</t>
        </is>
      </c>
      <c r="D729" s="0" t="inlineStr">
        <is>
          <t xml:space="preserve">customer_success</t>
        </is>
      </c>
      <c r="E729" s="0" t="inlineStr">
        <is>
          <t xml:space="preserve">travel</t>
        </is>
      </c>
      <c r="F729" s="4">
        <v>-992</v>
      </c>
      <c r="G729" s="0" t="str">
        <f>"aug26"</f>
        <v>aug26</v>
      </c>
    </row>
    <row r="730">
      <c r="A730" s="0" t="inlineStr">
        <is>
          <t xml:space="preserve">j00729</t>
        </is>
      </c>
      <c r="B730" s="16">
        <v>46259</v>
      </c>
      <c r="C730" s="0" t="inlineStr">
        <is>
          <t xml:space="preserve">uk</t>
        </is>
      </c>
      <c r="D730" s="0" t="inlineStr">
        <is>
          <t xml:space="preserve">g_and_a</t>
        </is>
      </c>
      <c r="E730" s="0" t="inlineStr">
        <is>
          <t xml:space="preserve">salaries</t>
        </is>
      </c>
      <c r="F730" s="4">
        <v>-41301</v>
      </c>
      <c r="G730" s="0" t="str">
        <f>"aug26"</f>
        <v>aug26</v>
      </c>
    </row>
    <row r="731">
      <c r="A731" s="0" t="inlineStr">
        <is>
          <t xml:space="preserve">j00730</t>
        </is>
      </c>
      <c r="B731" s="16">
        <v>46239</v>
      </c>
      <c r="C731" s="0" t="inlineStr">
        <is>
          <t xml:space="preserve">uk</t>
        </is>
      </c>
      <c r="D731" s="0" t="inlineStr">
        <is>
          <t xml:space="preserve">g_and_a</t>
        </is>
      </c>
      <c r="E731" s="0" t="inlineStr">
        <is>
          <t xml:space="preserve">benefits</t>
        </is>
      </c>
      <c r="F731" s="4">
        <v>-8929</v>
      </c>
      <c r="G731" s="0" t="str">
        <f>"aug26"</f>
        <v>aug26</v>
      </c>
    </row>
    <row r="732">
      <c r="A732" s="0" t="inlineStr">
        <is>
          <t xml:space="preserve">j00731</t>
        </is>
      </c>
      <c r="B732" s="16">
        <v>46249</v>
      </c>
      <c r="C732" s="0" t="inlineStr">
        <is>
          <t xml:space="preserve">uk</t>
        </is>
      </c>
      <c r="D732" s="0" t="inlineStr">
        <is>
          <t xml:space="preserve">g_and_a</t>
        </is>
      </c>
      <c r="E732" s="0" t="inlineStr">
        <is>
          <t xml:space="preserve">rent</t>
        </is>
      </c>
      <c r="F732" s="4">
        <v>-33263</v>
      </c>
      <c r="G732" s="0" t="str">
        <f>"aug26"</f>
        <v>aug26</v>
      </c>
    </row>
    <row r="733">
      <c r="A733" s="0" t="inlineStr">
        <is>
          <t xml:space="preserve">j00732</t>
        </is>
      </c>
      <c r="B733" s="16">
        <v>46254</v>
      </c>
      <c r="C733" s="0" t="inlineStr">
        <is>
          <t xml:space="preserve">uk</t>
        </is>
      </c>
      <c r="D733" s="0" t="inlineStr">
        <is>
          <t xml:space="preserve">g_and_a</t>
        </is>
      </c>
      <c r="E733" s="0" t="inlineStr">
        <is>
          <t xml:space="preserve">professional_fees</t>
        </is>
      </c>
      <c r="F733" s="4">
        <v>-2605</v>
      </c>
      <c r="G733" s="0" t="str">
        <f>"aug26"</f>
        <v>aug26</v>
      </c>
    </row>
    <row r="734">
      <c r="A734" s="0" t="inlineStr">
        <is>
          <t xml:space="preserve">j00733</t>
        </is>
      </c>
      <c r="B734" s="16">
        <v>46249</v>
      </c>
      <c r="C734" s="0" t="inlineStr">
        <is>
          <t xml:space="preserve">uk</t>
        </is>
      </c>
      <c r="D734" s="0" t="inlineStr">
        <is>
          <t xml:space="preserve">g_and_a</t>
        </is>
      </c>
      <c r="E734" s="0" t="inlineStr">
        <is>
          <t xml:space="preserve">professional_fees</t>
        </is>
      </c>
      <c r="F734" s="4">
        <v>-5790</v>
      </c>
      <c r="G734" s="0" t="str">
        <f>"aug26"</f>
        <v>aug26</v>
      </c>
    </row>
    <row r="735">
      <c r="A735" s="0" t="inlineStr">
        <is>
          <t xml:space="preserve">j00734</t>
        </is>
      </c>
      <c r="B735" s="16">
        <v>46239</v>
      </c>
      <c r="C735" s="0" t="inlineStr">
        <is>
          <t xml:space="preserve">uk</t>
        </is>
      </c>
      <c r="D735" s="0" t="inlineStr">
        <is>
          <t xml:space="preserve">g_and_a</t>
        </is>
      </c>
      <c r="E735" s="0" t="inlineStr">
        <is>
          <t xml:space="preserve">professional_fees</t>
        </is>
      </c>
      <c r="F735" s="4">
        <v>-5833</v>
      </c>
      <c r="G735" s="0" t="str">
        <f>"aug26"</f>
        <v>aug26</v>
      </c>
    </row>
    <row r="736">
      <c r="A736" s="0" t="inlineStr">
        <is>
          <t xml:space="preserve">j00735</t>
        </is>
      </c>
      <c r="B736" s="16">
        <v>46239</v>
      </c>
      <c r="C736" s="0" t="inlineStr">
        <is>
          <t xml:space="preserve">uk</t>
        </is>
      </c>
      <c r="D736" s="0" t="inlineStr">
        <is>
          <t xml:space="preserve">g_and_a</t>
        </is>
      </c>
      <c r="E736" s="0" t="inlineStr">
        <is>
          <t xml:space="preserve">software</t>
        </is>
      </c>
      <c r="F736" s="4">
        <v>-2381</v>
      </c>
      <c r="G736" s="0" t="str">
        <f>"aug26"</f>
        <v>aug26</v>
      </c>
    </row>
    <row r="737">
      <c r="A737" s="0" t="inlineStr">
        <is>
          <t xml:space="preserve">j00736</t>
        </is>
      </c>
      <c r="B737" s="16">
        <v>46246</v>
      </c>
      <c r="C737" s="0" t="inlineStr">
        <is>
          <t xml:space="preserve">uk</t>
        </is>
      </c>
      <c r="D737" s="0" t="inlineStr">
        <is>
          <t xml:space="preserve">g_and_a</t>
        </is>
      </c>
      <c r="E737" s="0" t="inlineStr">
        <is>
          <t xml:space="preserve">software</t>
        </is>
      </c>
      <c r="F737" s="4">
        <v>-2640</v>
      </c>
      <c r="G737" s="0" t="str">
        <f>"aug26"</f>
        <v>aug26</v>
      </c>
    </row>
    <row r="738">
      <c r="A738" s="0" t="inlineStr">
        <is>
          <t xml:space="preserve">j00737</t>
        </is>
      </c>
      <c r="B738" s="16">
        <v>46262</v>
      </c>
      <c r="C738" s="0" t="inlineStr">
        <is>
          <t xml:space="preserve">uk</t>
        </is>
      </c>
      <c r="D738" s="0" t="inlineStr">
        <is>
          <t xml:space="preserve">g_and_a</t>
        </is>
      </c>
      <c r="E738" s="0" t="inlineStr">
        <is>
          <t xml:space="preserve">travel</t>
        </is>
      </c>
      <c r="F738" s="4">
        <v>-632</v>
      </c>
      <c r="G738" s="0" t="str">
        <f>"aug26"</f>
        <v>aug26</v>
      </c>
    </row>
    <row r="739">
      <c r="A739" s="0" t="inlineStr">
        <is>
          <t xml:space="preserve">j00738</t>
        </is>
      </c>
      <c r="B739" s="16">
        <v>46239</v>
      </c>
      <c r="C739" s="0" t="inlineStr">
        <is>
          <t xml:space="preserve">uk</t>
        </is>
      </c>
      <c r="D739" s="0" t="inlineStr">
        <is>
          <t xml:space="preserve">g_and_a</t>
        </is>
      </c>
      <c r="E739" s="0" t="inlineStr">
        <is>
          <t xml:space="preserve">travel</t>
        </is>
      </c>
      <c r="F739" s="4">
        <v>-1894</v>
      </c>
      <c r="G739" s="0" t="str">
        <f>"aug26"</f>
        <v>aug26</v>
      </c>
    </row>
    <row r="740">
      <c r="A740" s="0" t="inlineStr">
        <is>
          <t xml:space="preserve">j00739</t>
        </is>
      </c>
      <c r="B740" s="16">
        <v>46254</v>
      </c>
      <c r="C740" s="0" t="inlineStr">
        <is>
          <t xml:space="preserve">uk</t>
        </is>
      </c>
      <c r="D740" s="0" t="inlineStr">
        <is>
          <t xml:space="preserve">sales</t>
        </is>
      </c>
      <c r="E740" s="0" t="inlineStr">
        <is>
          <t xml:space="preserve">commissions</t>
        </is>
      </c>
      <c r="F740" s="4">
        <v>-40802</v>
      </c>
      <c r="G740" s="0" t="str">
        <f>"aug26"</f>
        <v>aug26</v>
      </c>
    </row>
    <row r="741">
      <c r="A741" s="0" t="inlineStr">
        <is>
          <t xml:space="preserve">j00740</t>
        </is>
      </c>
      <c r="B741" s="16">
        <v>46262</v>
      </c>
      <c r="C741" s="0" t="inlineStr">
        <is>
          <t xml:space="preserve">uk</t>
        </is>
      </c>
      <c r="D741" s="0" t="inlineStr">
        <is>
          <t xml:space="preserve">sales</t>
        </is>
      </c>
      <c r="E741" s="0" t="inlineStr">
        <is>
          <t xml:space="preserve">commissions</t>
        </is>
      </c>
      <c r="F741" s="4">
        <v>-49850</v>
      </c>
      <c r="G741" s="0" t="str">
        <f>"aug26"</f>
        <v>aug26</v>
      </c>
    </row>
    <row r="742">
      <c r="A742" s="0" t="inlineStr">
        <is>
          <t xml:space="preserve">j00741</t>
        </is>
      </c>
      <c r="B742" s="16">
        <v>46254</v>
      </c>
      <c r="C742" s="0" t="inlineStr">
        <is>
          <t xml:space="preserve">uk</t>
        </is>
      </c>
      <c r="D742" s="0" t="inlineStr">
        <is>
          <t xml:space="preserve">marketing</t>
        </is>
      </c>
      <c r="E742" s="0" t="inlineStr">
        <is>
          <t xml:space="preserve">marketing_programs</t>
        </is>
      </c>
      <c r="F742" s="4">
        <v>-162995</v>
      </c>
      <c r="G742" s="0" t="str">
        <f>"aug26"</f>
        <v>aug26</v>
      </c>
    </row>
    <row r="743">
      <c r="A743" s="0" t="inlineStr">
        <is>
          <t xml:space="preserve">j00742</t>
        </is>
      </c>
      <c r="B743" s="16">
        <v>46254</v>
      </c>
      <c r="C743" s="0" t="inlineStr">
        <is>
          <t xml:space="preserve">uk</t>
        </is>
      </c>
      <c r="D743" s="0" t="inlineStr">
        <is>
          <t xml:space="preserve">engineering</t>
        </is>
      </c>
      <c r="E743" s="0" t="inlineStr">
        <is>
          <t xml:space="preserve">cloud</t>
        </is>
      </c>
      <c r="F743" s="4">
        <v>-51511</v>
      </c>
      <c r="G743" s="0" t="str">
        <f>"aug26"</f>
        <v>aug26</v>
      </c>
    </row>
    <row r="744">
      <c r="A744" s="0" t="inlineStr">
        <is>
          <t xml:space="preserve">j00743</t>
        </is>
      </c>
      <c r="B744" s="16">
        <v>46239</v>
      </c>
      <c r="C744" s="0" t="inlineStr">
        <is>
          <t xml:space="preserve">uk</t>
        </is>
      </c>
      <c r="D744" s="0" t="inlineStr">
        <is>
          <t xml:space="preserve">engineering</t>
        </is>
      </c>
      <c r="E744" s="0" t="inlineStr">
        <is>
          <t xml:space="preserve">cloud</t>
        </is>
      </c>
      <c r="F744" s="4">
        <v>-55312</v>
      </c>
      <c r="G744" s="0" t="str">
        <f>"aug26"</f>
        <v>aug26</v>
      </c>
    </row>
    <row r="745">
      <c r="A745" s="0" t="inlineStr">
        <is>
          <t xml:space="preserve">j00744</t>
        </is>
      </c>
      <c r="B745" s="16">
        <v>46254</v>
      </c>
      <c r="C745" s="0" t="inlineStr">
        <is>
          <t xml:space="preserve">uk</t>
        </is>
      </c>
      <c r="D745" s="0" t="inlineStr">
        <is>
          <t xml:space="preserve">engineering</t>
        </is>
      </c>
      <c r="E745" s="0" t="inlineStr">
        <is>
          <t xml:space="preserve">cloud</t>
        </is>
      </c>
      <c r="F745" s="4">
        <v>-56289</v>
      </c>
      <c r="G745" s="0" t="str">
        <f>"aug26"</f>
        <v>aug26</v>
      </c>
    </row>
  </sheetData>
</worksheet>
</file>

<file path=xl/worksheets/sheet15.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s>
  <sheetData>
    <row r="1">
      <c r="A1" s="1" t="inlineStr">
        <is>
          <t xml:space="preserve">ID</t>
        </is>
      </c>
      <c r="B1" s="1" t="inlineStr">
        <is>
          <t xml:space="preserve">name</t>
        </is>
      </c>
    </row>
    <row r="2">
      <c r="A2" s="0" t="inlineStr">
        <is>
          <t xml:space="preserve">us</t>
        </is>
      </c>
      <c r="B2" s="0" t="inlineStr">
        <is>
          <t xml:space="preserve">United States</t>
        </is>
      </c>
    </row>
    <row r="3">
      <c r="A3" s="0" t="inlineStr">
        <is>
          <t xml:space="preserve">uk</t>
        </is>
      </c>
      <c r="B3" s="0" t="inlineStr">
        <is>
          <t xml:space="preserve">United Kingdom</t>
        </is>
      </c>
    </row>
  </sheetData>
</worksheet>
</file>

<file path=xl/worksheets/sheet16.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s>
  <sheetData>
    <row r="1">
      <c r="A1" s="1" t="inlineStr">
        <is>
          <t xml:space="preserve">ID</t>
        </is>
      </c>
      <c r="B1" s="1" t="inlineStr">
        <is>
          <t xml:space="preserve">name</t>
        </is>
      </c>
    </row>
    <row r="2">
      <c r="A2" s="0" t="inlineStr">
        <is>
          <t xml:space="preserve">company</t>
        </is>
      </c>
      <c r="B2" s="0" t="inlineStr">
        <is>
          <t xml:space="preserve">Company (revenue and cost of revenue)</t>
        </is>
      </c>
    </row>
    <row r="3">
      <c r="A3" s="0" t="inlineStr">
        <is>
          <t xml:space="preserve">sales</t>
        </is>
      </c>
      <c r="B3" s="0" t="inlineStr">
        <is>
          <t xml:space="preserve">Sales</t>
        </is>
      </c>
    </row>
    <row r="4">
      <c r="A4" s="0" t="inlineStr">
        <is>
          <t xml:space="preserve">marketing</t>
        </is>
      </c>
      <c r="B4" s="0" t="inlineStr">
        <is>
          <t xml:space="preserve">Marketing</t>
        </is>
      </c>
    </row>
    <row r="5">
      <c r="A5" s="0" t="inlineStr">
        <is>
          <t xml:space="preserve">engineering</t>
        </is>
      </c>
      <c r="B5" s="0" t="inlineStr">
        <is>
          <t xml:space="preserve">Engineering</t>
        </is>
      </c>
    </row>
    <row r="6">
      <c r="A6" s="0" t="inlineStr">
        <is>
          <t xml:space="preserve">customer_success</t>
        </is>
      </c>
      <c r="B6" s="0" t="inlineStr">
        <is>
          <t xml:space="preserve">Customer success</t>
        </is>
      </c>
    </row>
    <row r="7">
      <c r="A7" s="0" t="inlineStr">
        <is>
          <t xml:space="preserve">g_and_a</t>
        </is>
      </c>
      <c r="B7" s="0" t="inlineStr">
        <is>
          <t xml:space="preserve">G&amp;A</t>
        </is>
      </c>
    </row>
  </sheetData>
</worksheet>
</file>

<file path=xl/worksheets/sheet17.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s>
  <sheetData>
    <row r="1">
      <c r="A1" s="1" t="inlineStr">
        <is>
          <t xml:space="preserve">ID</t>
        </is>
      </c>
      <c r="B1" s="1" t="inlineStr">
        <is>
          <t xml:space="preserve">name</t>
        </is>
      </c>
    </row>
    <row r="2">
      <c r="A2" s="0" t="inlineStr">
        <is>
          <t xml:space="preserve">revenue</t>
        </is>
      </c>
      <c r="B2" s="0" t="inlineStr">
        <is>
          <t xml:space="preserve">Revenue</t>
        </is>
      </c>
    </row>
    <row r="3">
      <c r="A3" s="0" t="inlineStr">
        <is>
          <t xml:space="preserve">cogs_hosting</t>
        </is>
      </c>
      <c r="B3" s="0" t="inlineStr">
        <is>
          <t xml:space="preserve">Cost of revenue: hosting</t>
        </is>
      </c>
    </row>
    <row r="4">
      <c r="A4" s="0" t="inlineStr">
        <is>
          <t xml:space="preserve">cogs_support</t>
        </is>
      </c>
      <c r="B4" s="0" t="inlineStr">
        <is>
          <t xml:space="preserve">Cost of revenue: support</t>
        </is>
      </c>
    </row>
    <row r="5">
      <c r="A5" s="0" t="inlineStr">
        <is>
          <t xml:space="preserve">salaries</t>
        </is>
      </c>
      <c r="B5" s="0" t="inlineStr">
        <is>
          <t xml:space="preserve">Salaries</t>
        </is>
      </c>
    </row>
    <row r="6">
      <c r="A6" s="0" t="inlineStr">
        <is>
          <t xml:space="preserve">benefits</t>
        </is>
      </c>
      <c r="B6" s="0" t="inlineStr">
        <is>
          <t xml:space="preserve">Benefits and payroll taxes</t>
        </is>
      </c>
    </row>
    <row r="7">
      <c r="A7" s="0" t="inlineStr">
        <is>
          <t xml:space="preserve">commissions</t>
        </is>
      </c>
      <c r="B7" s="0" t="inlineStr">
        <is>
          <t xml:space="preserve">Commissions</t>
        </is>
      </c>
    </row>
    <row r="8">
      <c r="A8" s="0" t="inlineStr">
        <is>
          <t xml:space="preserve">contractors</t>
        </is>
      </c>
      <c r="B8" s="0" t="inlineStr">
        <is>
          <t xml:space="preserve">Contractors</t>
        </is>
      </c>
    </row>
    <row r="9">
      <c r="A9" s="0" t="inlineStr">
        <is>
          <t xml:space="preserve">cloud</t>
        </is>
      </c>
      <c r="B9" s="0" t="inlineStr">
        <is>
          <t xml:space="preserve">Cloud and infrastructure</t>
        </is>
      </c>
    </row>
    <row r="10">
      <c r="A10" s="0" t="inlineStr">
        <is>
          <t xml:space="preserve">marketing_programs</t>
        </is>
      </c>
      <c r="B10" s="0" t="inlineStr">
        <is>
          <t xml:space="preserve">Marketing programs</t>
        </is>
      </c>
    </row>
    <row r="11">
      <c r="A11" s="0" t="inlineStr">
        <is>
          <t xml:space="preserve">software</t>
        </is>
      </c>
      <c r="B11" s="0" t="inlineStr">
        <is>
          <t xml:space="preserve">Software and tools</t>
        </is>
      </c>
    </row>
    <row r="12">
      <c r="A12" s="0" t="inlineStr">
        <is>
          <t xml:space="preserve">travel</t>
        </is>
      </c>
      <c r="B12" s="0" t="inlineStr">
        <is>
          <t xml:space="preserve">Travel and events</t>
        </is>
      </c>
    </row>
    <row r="13">
      <c r="A13" s="0" t="inlineStr">
        <is>
          <t xml:space="preserve">rent</t>
        </is>
      </c>
      <c r="B13" s="0" t="inlineStr">
        <is>
          <t xml:space="preserve">Rent and facilities</t>
        </is>
      </c>
    </row>
    <row r="14">
      <c r="A14" s="0" t="inlineStr">
        <is>
          <t xml:space="preserve">professional_fees</t>
        </is>
      </c>
      <c r="B14" s="0" t="inlineStr">
        <is>
          <t xml:space="preserve">Professional fees</t>
        </is>
      </c>
    </row>
    <row r="15">
      <c r="A15" s="0" t="inlineStr">
        <is>
          <t xml:space="preserve">total</t>
        </is>
      </c>
      <c r="B15" s="0" t="inlineStr">
        <is>
          <t xml:space="preserve">Net</t>
        </is>
      </c>
    </row>
  </sheetData>
</worksheet>
</file>

<file path=xl/worksheets/sheet18.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ytd_actual</t>
        </is>
      </c>
      <c r="B2" s="0" t="inlineStr">
        <is>
          <t xml:space="preserve">YTD actual</t>
        </is>
      </c>
      <c r="C2" s="0"/>
    </row>
    <row r="3">
      <c r="A3" s="0" t="inlineStr">
        <is>
          <t xml:space="preserve">ytd_budget</t>
        </is>
      </c>
      <c r="B3" s="0" t="inlineStr">
        <is>
          <t xml:space="preserve">YTD budget</t>
        </is>
      </c>
      <c r="C3" s="0"/>
    </row>
    <row r="4">
      <c r="A4" s="0" t="inlineStr">
        <is>
          <t xml:space="preserve">ytd_variance</t>
        </is>
      </c>
      <c r="B4" s="0" t="inlineStr">
        <is>
          <t xml:space="preserve">YTD variance</t>
        </is>
      </c>
      <c r="C4" s="0"/>
    </row>
    <row r="5">
      <c r="A5" s="0" t="inlineStr">
        <is>
          <t xml:space="preserve">fy_outlook</t>
        </is>
      </c>
      <c r="B5" s="0" t="inlineStr">
        <is>
          <t xml:space="preserve">FY outlook</t>
        </is>
      </c>
      <c r="C5" s="0"/>
    </row>
    <row r="6">
      <c r="A6" s="0" t="inlineStr">
        <is>
          <t xml:space="preserve">fy_budget</t>
        </is>
      </c>
      <c r="B6" s="0" t="inlineStr">
        <is>
          <t xml:space="preserve">FY budget</t>
        </is>
      </c>
      <c r="C6" s="0"/>
    </row>
    <row r="7">
      <c r="A7" s="0" t="inlineStr">
        <is>
          <t xml:space="preserve">fy_variance</t>
        </is>
      </c>
      <c r="B7" s="0" t="inlineStr">
        <is>
          <t xml:space="preserve">FY variance</t>
        </is>
      </c>
      <c r="C7" s="0"/>
    </row>
    <row r="8">
      <c r="A8" s="0" t="inlineStr">
        <is>
          <t xml:space="preserve">fy_variance_pct</t>
        </is>
      </c>
      <c r="B8" s="0" t="inlineStr">
        <is>
          <t xml:space="preserve">FY variance %</t>
        </is>
      </c>
      <c r="C8" s="0" t="inlineStr">
        <is>
          <t xml:space="preserve">percent</t>
        </is>
      </c>
    </row>
  </sheetData>
</worksheet>
</file>

<file path=xl/worksheets/sheet19.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revenue_growth</t>
        </is>
      </c>
      <c r="B2" s="0" t="inlineStr">
        <is>
          <t xml:space="preserve">Revenue growth per month</t>
        </is>
      </c>
      <c r="C2" s="0" t="inlineStr">
        <is>
          <t xml:space="preserve">percent</t>
        </is>
      </c>
    </row>
    <row r="3">
      <c r="A3" s="0" t="inlineStr">
        <is>
          <t xml:space="preserve">hosting_pct</t>
        </is>
      </c>
      <c r="B3" s="0" t="inlineStr">
        <is>
          <t xml:space="preserve">Hosting cost, % of revenue</t>
        </is>
      </c>
      <c r="C3" s="0" t="inlineStr">
        <is>
          <t xml:space="preserve">percent</t>
        </is>
      </c>
    </row>
    <row r="4">
      <c r="A4" s="0" t="inlineStr">
        <is>
          <t xml:space="preserve">support_pct</t>
        </is>
      </c>
      <c r="B4" s="0" t="inlineStr">
        <is>
          <t xml:space="preserve">Support cost, % of revenue</t>
        </is>
      </c>
      <c r="C4" s="0" t="inlineStr">
        <is>
          <t xml:space="preserve">percent</t>
        </is>
      </c>
    </row>
    <row r="5">
      <c r="A5" s="0" t="inlineStr">
        <is>
          <t xml:space="preserve">benefits_pct</t>
        </is>
      </c>
      <c r="B5" s="0" t="inlineStr">
        <is>
          <t xml:space="preserve">Benefits, % of salaries</t>
        </is>
      </c>
      <c r="C5" s="0" t="inlineStr">
        <is>
          <t xml:space="preserve">percent</t>
        </is>
      </c>
    </row>
    <row r="6">
      <c r="A6" s="0" t="inlineStr">
        <is>
          <t xml:space="preserve">commission_pct</t>
        </is>
      </c>
      <c r="B6" s="0" t="inlineStr">
        <is>
          <t xml:space="preserve">Commissions, % of revenue</t>
        </is>
      </c>
      <c r="C6" s="0" t="inlineStr">
        <is>
          <t xml:space="preserve">percent</t>
        </is>
      </c>
    </row>
    <row r="7">
      <c r="A7" s="0" t="inlineStr">
        <is>
          <t xml:space="preserve">marketing_pct</t>
        </is>
      </c>
      <c r="B7" s="0" t="inlineStr">
        <is>
          <t xml:space="preserve">Marketing programs, % of revenue</t>
        </is>
      </c>
      <c r="C7" s="0" t="inlineStr">
        <is>
          <t xml:space="preserve">percent</t>
        </is>
      </c>
    </row>
    <row r="8">
      <c r="A8" s="0" t="inlineStr">
        <is>
          <t xml:space="preserve">cloud_pct</t>
        </is>
      </c>
      <c r="B8" s="0" t="inlineStr">
        <is>
          <t xml:space="preserve">Cloud, % of revenue</t>
        </is>
      </c>
      <c r="C8" s="0" t="inlineStr">
        <is>
          <t xml:space="preserve">percent</t>
        </is>
      </c>
    </row>
    <row r="9">
      <c r="A9" s="0" t="inlineStr">
        <is>
          <t xml:space="preserve">other_growth</t>
        </is>
      </c>
      <c r="B9" s="0" t="inlineStr">
        <is>
          <t xml:space="preserve">Other opex growth per month</t>
        </is>
      </c>
      <c r="C9" s="0" t="inlineStr">
        <is>
          <t xml:space="preserve">percent</t>
        </is>
      </c>
    </row>
  </sheetData>
</worksheet>
</file>

<file path=xl/worksheets/sheet20.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heads</t>
        </is>
      </c>
      <c r="B2" s="0" t="inlineStr">
        <is>
          <t xml:space="preserve">Heads (period end)</t>
        </is>
      </c>
      <c r="C2" s="0"/>
    </row>
    <row r="3">
      <c r="A3" s="0" t="inlineStr">
        <is>
          <t xml:space="preserve">cost_per_head</t>
        </is>
      </c>
      <c r="B3" s="0" t="inlineStr">
        <is>
          <t xml:space="preserve">Loaded cost per head, annual</t>
        </is>
      </c>
      <c r="C3" s="0"/>
    </row>
    <row r="4">
      <c r="A4" s="0" t="inlineStr">
        <is>
          <t xml:space="preserve">salary_cost</t>
        </is>
      </c>
      <c r="B4" s="0" t="inlineStr">
        <is>
          <t xml:space="preserve">Salary cost (month)</t>
        </is>
      </c>
      <c r="C4" s="0"/>
    </row>
  </sheetData>
</worksheet>
</file>

<file path=xl/worksheets/sheet21.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t>
        </is>
      </c>
      <c r="B2" s="0" t="inlineStr">
        <is>
          <t xml:space="preserve">Revenue</t>
        </is>
      </c>
      <c r="C2" s="0"/>
    </row>
    <row r="3">
      <c r="A3" s="0" t="inlineStr">
        <is>
          <t xml:space="preserve">cost_of_revenue</t>
        </is>
      </c>
      <c r="B3" s="0" t="inlineStr">
        <is>
          <t xml:space="preserve">Cost of revenue</t>
        </is>
      </c>
      <c r="C3" s="0"/>
    </row>
    <row r="4">
      <c r="A4" s="0" t="inlineStr">
        <is>
          <t xml:space="preserve">gross_profit</t>
        </is>
      </c>
      <c r="B4" s="0" t="inlineStr">
        <is>
          <t xml:space="preserve">Gross profit</t>
        </is>
      </c>
      <c r="C4" s="0"/>
    </row>
    <row r="5">
      <c r="A5" s="0" t="inlineStr">
        <is>
          <t xml:space="preserve">gross_margin</t>
        </is>
      </c>
      <c r="B5" s="0" t="inlineStr">
        <is>
          <t xml:space="preserve">Gross margin</t>
        </is>
      </c>
      <c r="C5" s="0" t="inlineStr">
        <is>
          <t xml:space="preserve">percent</t>
        </is>
      </c>
    </row>
    <row r="6">
      <c r="A6" s="0" t="inlineStr">
        <is>
          <t xml:space="preserve">opex_sales</t>
        </is>
      </c>
      <c r="B6" s="0" t="inlineStr">
        <is>
          <t xml:space="preserve">Sales</t>
        </is>
      </c>
      <c r="C6" s="0"/>
    </row>
    <row r="7">
      <c r="A7" s="0" t="inlineStr">
        <is>
          <t xml:space="preserve">opex_marketing</t>
        </is>
      </c>
      <c r="B7" s="0" t="inlineStr">
        <is>
          <t xml:space="preserve">Marketing</t>
        </is>
      </c>
      <c r="C7" s="0"/>
    </row>
    <row r="8">
      <c r="A8" s="0" t="inlineStr">
        <is>
          <t xml:space="preserve">opex_engineering</t>
        </is>
      </c>
      <c r="B8" s="0" t="inlineStr">
        <is>
          <t xml:space="preserve">Engineering</t>
        </is>
      </c>
      <c r="C8" s="0"/>
    </row>
    <row r="9">
      <c r="A9" s="0" t="inlineStr">
        <is>
          <t xml:space="preserve">opex_customer_success</t>
        </is>
      </c>
      <c r="B9" s="0" t="inlineStr">
        <is>
          <t xml:space="preserve">Customer success</t>
        </is>
      </c>
      <c r="C9" s="0"/>
    </row>
    <row r="10">
      <c r="A10" s="0" t="inlineStr">
        <is>
          <t xml:space="preserve">opex_g_and_a</t>
        </is>
      </c>
      <c r="B10" s="0" t="inlineStr">
        <is>
          <t xml:space="preserve">G&amp;A</t>
        </is>
      </c>
      <c r="C10" s="0"/>
    </row>
    <row r="11">
      <c r="A11" s="0" t="inlineStr">
        <is>
          <t xml:space="preserve">total_opex</t>
        </is>
      </c>
      <c r="B11" s="0" t="inlineStr">
        <is>
          <t xml:space="preserve">Total operating expenses</t>
        </is>
      </c>
      <c r="C11" s="0"/>
    </row>
    <row r="12">
      <c r="A12" s="0" t="inlineStr">
        <is>
          <t xml:space="preserve">ebitda</t>
        </is>
      </c>
      <c r="B12" s="0" t="inlineStr">
        <is>
          <t xml:space="preserve">EBITDA</t>
        </is>
      </c>
      <c r="C12" s="0"/>
    </row>
    <row r="13">
      <c r="A13" s="0" t="inlineStr">
        <is>
          <t xml:space="preserve">ebitda_margin</t>
        </is>
      </c>
      <c r="B13" s="0" t="inlineStr">
        <is>
          <t xml:space="preserve">EBITDA margin</t>
        </is>
      </c>
      <c r="C13" s="0" t="inlineStr">
        <is>
          <t xml:space="preserve">percent</t>
        </is>
      </c>
    </row>
    <row r="14">
      <c r="A14" s="0" t="inlineStr">
        <is>
          <t xml:space="preserve">heads</t>
        </is>
      </c>
      <c r="B14" s="0" t="inlineStr">
        <is>
          <t xml:space="preserve">Headcount (period end)</t>
        </is>
      </c>
      <c r="C14" s="0"/>
    </row>
  </sheetData>
</worksheet>
</file>

<file path=xl/worksheets/sheet22.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t>
        </is>
      </c>
      <c r="B2" s="0" t="inlineStr">
        <is>
          <t xml:space="preserve">Revenue</t>
        </is>
      </c>
      <c r="C2" s="0"/>
    </row>
    <row r="3">
      <c r="A3" s="0" t="inlineStr">
        <is>
          <t xml:space="preserve">cost_of_revenue</t>
        </is>
      </c>
      <c r="B3" s="0" t="inlineStr">
        <is>
          <t xml:space="preserve">Cost of revenue</t>
        </is>
      </c>
      <c r="C3" s="0"/>
    </row>
    <row r="4">
      <c r="A4" s="0" t="inlineStr">
        <is>
          <t xml:space="preserve">gross_profit</t>
        </is>
      </c>
      <c r="B4" s="0" t="inlineStr">
        <is>
          <t xml:space="preserve">Gross profit</t>
        </is>
      </c>
      <c r="C4" s="0"/>
    </row>
    <row r="5">
      <c r="A5" s="0" t="inlineStr">
        <is>
          <t xml:space="preserve">gross_margin</t>
        </is>
      </c>
      <c r="B5" s="0" t="inlineStr">
        <is>
          <t xml:space="preserve">Gross margin</t>
        </is>
      </c>
      <c r="C5" s="0" t="inlineStr">
        <is>
          <t xml:space="preserve">percent</t>
        </is>
      </c>
    </row>
    <row r="6">
      <c r="A6" s="0" t="inlineStr">
        <is>
          <t xml:space="preserve">opex_sales</t>
        </is>
      </c>
      <c r="B6" s="0" t="inlineStr">
        <is>
          <t xml:space="preserve">Sales</t>
        </is>
      </c>
      <c r="C6" s="0"/>
    </row>
    <row r="7">
      <c r="A7" s="0" t="inlineStr">
        <is>
          <t xml:space="preserve">opex_marketing</t>
        </is>
      </c>
      <c r="B7" s="0" t="inlineStr">
        <is>
          <t xml:space="preserve">Marketing</t>
        </is>
      </c>
      <c r="C7" s="0"/>
    </row>
    <row r="8">
      <c r="A8" s="0" t="inlineStr">
        <is>
          <t xml:space="preserve">opex_engineering</t>
        </is>
      </c>
      <c r="B8" s="0" t="inlineStr">
        <is>
          <t xml:space="preserve">Engineering</t>
        </is>
      </c>
      <c r="C8" s="0"/>
    </row>
    <row r="9">
      <c r="A9" s="0" t="inlineStr">
        <is>
          <t xml:space="preserve">opex_customer_success</t>
        </is>
      </c>
      <c r="B9" s="0" t="inlineStr">
        <is>
          <t xml:space="preserve">Customer success</t>
        </is>
      </c>
      <c r="C9" s="0"/>
    </row>
    <row r="10">
      <c r="A10" s="0" t="inlineStr">
        <is>
          <t xml:space="preserve">opex_g_and_a</t>
        </is>
      </c>
      <c r="B10" s="0" t="inlineStr">
        <is>
          <t xml:space="preserve">G&amp;A</t>
        </is>
      </c>
      <c r="C10" s="0"/>
    </row>
    <row r="11">
      <c r="A11" s="0" t="inlineStr">
        <is>
          <t xml:space="preserve">total_opex</t>
        </is>
      </c>
      <c r="B11" s="0" t="inlineStr">
        <is>
          <t xml:space="preserve">Total operating expenses</t>
        </is>
      </c>
      <c r="C11" s="0"/>
    </row>
    <row r="12">
      <c r="A12" s="0" t="inlineStr">
        <is>
          <t xml:space="preserve">ebitda</t>
        </is>
      </c>
      <c r="B12" s="0" t="inlineStr">
        <is>
          <t xml:space="preserve">EBITDA</t>
        </is>
      </c>
      <c r="C12" s="0"/>
    </row>
    <row r="13">
      <c r="A13" s="0" t="inlineStr">
        <is>
          <t xml:space="preserve">ebitda_margin</t>
        </is>
      </c>
      <c r="B13" s="0" t="inlineStr">
        <is>
          <t xml:space="preserve">EBITDA margin</t>
        </is>
      </c>
      <c r="C13" s="0" t="inlineStr">
        <is>
          <t xml:space="preserve">percent</t>
        </is>
      </c>
    </row>
    <row r="14">
      <c r="A14" s="0" t="inlineStr">
        <is>
          <t xml:space="preserve">heads</t>
        </is>
      </c>
      <c r="B14" s="0" t="inlineStr">
        <is>
          <t xml:space="preserve">Headcount (period end)</t>
        </is>
      </c>
      <c r="C14" s="0"/>
    </row>
  </sheetData>
</worksheet>
</file>

<file path=xl/worksheets/sheet23.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t>
        </is>
      </c>
      <c r="B2" s="0" t="inlineStr">
        <is>
          <t xml:space="preserve">Revenue</t>
        </is>
      </c>
      <c r="C2" s="0"/>
    </row>
    <row r="3">
      <c r="A3" s="0" t="inlineStr">
        <is>
          <t xml:space="preserve">cost_of_revenue</t>
        </is>
      </c>
      <c r="B3" s="0" t="inlineStr">
        <is>
          <t xml:space="preserve">Cost of revenue</t>
        </is>
      </c>
      <c r="C3" s="0"/>
    </row>
    <row r="4">
      <c r="A4" s="0" t="inlineStr">
        <is>
          <t xml:space="preserve">gross_profit</t>
        </is>
      </c>
      <c r="B4" s="0" t="inlineStr">
        <is>
          <t xml:space="preserve">Gross profit</t>
        </is>
      </c>
      <c r="C4" s="0"/>
    </row>
    <row r="5">
      <c r="A5" s="0" t="inlineStr">
        <is>
          <t xml:space="preserve">gross_margin</t>
        </is>
      </c>
      <c r="B5" s="0" t="inlineStr">
        <is>
          <t xml:space="preserve">Gross margin</t>
        </is>
      </c>
      <c r="C5" s="0" t="inlineStr">
        <is>
          <t xml:space="preserve">percent</t>
        </is>
      </c>
    </row>
    <row r="6">
      <c r="A6" s="0" t="inlineStr">
        <is>
          <t xml:space="preserve">opex_sales</t>
        </is>
      </c>
      <c r="B6" s="0" t="inlineStr">
        <is>
          <t xml:space="preserve">Sales</t>
        </is>
      </c>
      <c r="C6" s="0"/>
    </row>
    <row r="7">
      <c r="A7" s="0" t="inlineStr">
        <is>
          <t xml:space="preserve">opex_marketing</t>
        </is>
      </c>
      <c r="B7" s="0" t="inlineStr">
        <is>
          <t xml:space="preserve">Marketing</t>
        </is>
      </c>
      <c r="C7" s="0"/>
    </row>
    <row r="8">
      <c r="A8" s="0" t="inlineStr">
        <is>
          <t xml:space="preserve">opex_engineering</t>
        </is>
      </c>
      <c r="B8" s="0" t="inlineStr">
        <is>
          <t xml:space="preserve">Engineering</t>
        </is>
      </c>
      <c r="C8" s="0"/>
    </row>
    <row r="9">
      <c r="A9" s="0" t="inlineStr">
        <is>
          <t xml:space="preserve">opex_customer_success</t>
        </is>
      </c>
      <c r="B9" s="0" t="inlineStr">
        <is>
          <t xml:space="preserve">Customer success</t>
        </is>
      </c>
      <c r="C9" s="0"/>
    </row>
    <row r="10">
      <c r="A10" s="0" t="inlineStr">
        <is>
          <t xml:space="preserve">opex_g_and_a</t>
        </is>
      </c>
      <c r="B10" s="0" t="inlineStr">
        <is>
          <t xml:space="preserve">G&amp;A</t>
        </is>
      </c>
      <c r="C10" s="0"/>
    </row>
    <row r="11">
      <c r="A11" s="0" t="inlineStr">
        <is>
          <t xml:space="preserve">total_opex</t>
        </is>
      </c>
      <c r="B11" s="0" t="inlineStr">
        <is>
          <t xml:space="preserve">Total operating expenses</t>
        </is>
      </c>
      <c r="C11" s="0"/>
    </row>
    <row r="12">
      <c r="A12" s="0" t="inlineStr">
        <is>
          <t xml:space="preserve">ebitda</t>
        </is>
      </c>
      <c r="B12" s="0" t="inlineStr">
        <is>
          <t xml:space="preserve">EBITDA</t>
        </is>
      </c>
      <c r="C12" s="0"/>
    </row>
    <row r="13">
      <c r="A13" s="0" t="inlineStr">
        <is>
          <t xml:space="preserve">ebitda_margin</t>
        </is>
      </c>
      <c r="B13" s="0" t="inlineStr">
        <is>
          <t xml:space="preserve">EBITDA margin</t>
        </is>
      </c>
      <c r="C13" s="0" t="inlineStr">
        <is>
          <t xml:space="preserve">percent</t>
        </is>
      </c>
    </row>
    <row r="14">
      <c r="A14" s="0" t="inlineStr">
        <is>
          <t xml:space="preserve">heads</t>
        </is>
      </c>
      <c r="B14" s="0" t="inlineStr">
        <is>
          <t xml:space="preserve">Headcount (period end)</t>
        </is>
      </c>
      <c r="C14" s="0"/>
    </row>
  </sheetData>
</worksheet>
</file>

<file path=xl/worksheets/sheet24.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22" customWidth="1"/>
    <col min="2" max="2" width="16" customWidth="1"/>
    <col min="3" max="3" width="30" customWidth="1"/>
    <col min="4" max="4" width="70" customWidth="1"/>
    <col min="5" max="5" width="10" customWidth="1"/>
  </cols>
  <sheetData>
    <row r="1">
      <c r="A1" s="1" t="inlineStr">
        <is>
          <t xml:space="preserve">Table</t>
        </is>
      </c>
      <c r="B1" s="1" t="inlineStr">
        <is>
          <t xml:space="preserve">Target</t>
        </is>
      </c>
      <c r="C1" s="1" t="inlineStr">
        <is>
          <t xml:space="preserve">When</t>
        </is>
      </c>
      <c r="D1" s="1" t="inlineStr">
        <is>
          <t xml:space="preserve">Formula</t>
        </is>
      </c>
      <c r="E1" s="1" t="inlineStr">
        <is>
          <t xml:space="preserve">Status</t>
        </is>
      </c>
    </row>
    <row r="2">
      <c r="A2" s="0" t="inlineStr">
        <is>
          <t xml:space="preserve">ledger</t>
        </is>
      </c>
      <c r="B2" s="0" t="inlineStr">
        <is>
          <t xml:space="preserve">period</t>
        </is>
      </c>
      <c r="C2" s="0"/>
      <c r="D2" s="20" t="inlineStr">
        <is>
          <t xml:space="preserve">PERIOD(date, periods)</t>
        </is>
      </c>
      <c r="E2" s="0" t="inlineStr">
        <is>
          <t xml:space="preserve">ok</t>
        </is>
      </c>
    </row>
    <row r="3">
      <c r="A3" s="0" t="inlineStr">
        <is>
          <t xml:space="preserve">headcount</t>
        </is>
      </c>
      <c r="B3" s="0" t="inlineStr">
        <is>
          <t xml:space="preserve">value</t>
        </is>
      </c>
      <c r="C3" s="0" t="inlineStr">
        <is>
          <t xml:space="preserve">line = salary_cost</t>
        </is>
      </c>
      <c r="D3" s="20" t="inlineStr">
        <is>
          <t xml:space="preserve">-heads * cost_per_head / 12</t>
        </is>
      </c>
      <c r="E3" s="0" t="inlineStr">
        <is>
          <t xml:space="preserve">ok</t>
        </is>
      </c>
    </row>
    <row r="4">
      <c r="A4" s="0" t="inlineStr">
        <is>
          <t xml:space="preserve">model</t>
        </is>
      </c>
      <c r="B4" s="0" t="inlineStr">
        <is>
          <t xml:space="preserve">value</t>
        </is>
      </c>
      <c r="C4" s="0" t="inlineStr">
        <is>
          <t xml:space="preserve">frame = hist</t>
        </is>
      </c>
      <c r="D4" s="20" t="inlineStr">
        <is>
          <t xml:space="preserve">SUM(ledger.amount[subsidiary=@subsidiary, department=@department, account=@line])</t>
        </is>
      </c>
      <c r="E4" s="0" t="inlineStr">
        <is>
          <t xml:space="preserve">ok</t>
        </is>
      </c>
    </row>
    <row r="5">
      <c r="A5" s="0" t="inlineStr">
        <is>
          <t xml:space="preserve">model</t>
        </is>
      </c>
      <c r="B5" s="0" t="inlineStr">
        <is>
          <t xml:space="preserve">value</t>
        </is>
      </c>
      <c r="C5" s="0" t="inlineStr">
        <is>
          <t xml:space="preserve">frame = fcst</t>
        </is>
      </c>
      <c r="D5" s="20" t="inlineStr">
        <is>
          <t xml:space="preserve">PREV(value) * (1 + plan.other_growth)</t>
        </is>
      </c>
      <c r="E5" s="0" t="inlineStr">
        <is>
          <t xml:space="preserve">ok</t>
        </is>
      </c>
    </row>
    <row r="6">
      <c r="A6" s="0" t="inlineStr">
        <is>
          <t xml:space="preserve">model</t>
        </is>
      </c>
      <c r="B6" s="0" t="inlineStr">
        <is>
          <t xml:space="preserve">value</t>
        </is>
      </c>
      <c r="C6" s="0" t="inlineStr">
        <is>
          <t xml:space="preserve">line = revenue, frame = fcst, department = company</t>
        </is>
      </c>
      <c r="D6" s="20" t="inlineStr">
        <is>
          <t xml:space="preserve">PREV(revenue) * (1 + plan.revenue_growth)</t>
        </is>
      </c>
      <c r="E6" s="0" t="inlineStr">
        <is>
          <t xml:space="preserve">ok</t>
        </is>
      </c>
    </row>
    <row r="7">
      <c r="A7" s="0" t="inlineStr">
        <is>
          <t xml:space="preserve">model</t>
        </is>
      </c>
      <c r="B7" s="0" t="inlineStr">
        <is>
          <t xml:space="preserve">value</t>
        </is>
      </c>
      <c r="C7" s="0" t="inlineStr">
        <is>
          <t xml:space="preserve">line = cogs_hosting, frame = fcst, department = company</t>
        </is>
      </c>
      <c r="D7" s="20" t="inlineStr">
        <is>
          <t xml:space="preserve">-revenue * plan.hosting_pct</t>
        </is>
      </c>
      <c r="E7" s="0" t="inlineStr">
        <is>
          <t xml:space="preserve">ok</t>
        </is>
      </c>
    </row>
    <row r="8">
      <c r="A8" s="0" t="inlineStr">
        <is>
          <t xml:space="preserve">model</t>
        </is>
      </c>
      <c r="B8" s="0" t="inlineStr">
        <is>
          <t xml:space="preserve">value</t>
        </is>
      </c>
      <c r="C8" s="0" t="inlineStr">
        <is>
          <t xml:space="preserve">line = cogs_support, frame = fcst, department = company</t>
        </is>
      </c>
      <c r="D8" s="20" t="inlineStr">
        <is>
          <t xml:space="preserve">-revenue * plan.support_pct</t>
        </is>
      </c>
      <c r="E8" s="0" t="inlineStr">
        <is>
          <t xml:space="preserve">ok</t>
        </is>
      </c>
    </row>
    <row r="9">
      <c r="A9" s="0" t="inlineStr">
        <is>
          <t xml:space="preserve">model</t>
        </is>
      </c>
      <c r="B9" s="0" t="inlineStr">
        <is>
          <t xml:space="preserve">value</t>
        </is>
      </c>
      <c r="C9" s="0" t="inlineStr">
        <is>
          <t xml:space="preserve">line = salaries, frame = fcst</t>
        </is>
      </c>
      <c r="D9" s="20" t="inlineStr">
        <is>
          <t xml:space="preserve">headcount.salary_cost</t>
        </is>
      </c>
      <c r="E9" s="0" t="inlineStr">
        <is>
          <t xml:space="preserve">ok</t>
        </is>
      </c>
    </row>
    <row r="10">
      <c r="A10" s="0" t="inlineStr">
        <is>
          <t xml:space="preserve">model</t>
        </is>
      </c>
      <c r="B10" s="0" t="inlineStr">
        <is>
          <t xml:space="preserve">value</t>
        </is>
      </c>
      <c r="C10" s="0" t="inlineStr">
        <is>
          <t xml:space="preserve">line = benefits, frame = fcst</t>
        </is>
      </c>
      <c r="D10" s="20" t="inlineStr">
        <is>
          <t xml:space="preserve">salaries * plan.benefits_pct</t>
        </is>
      </c>
      <c r="E10" s="0" t="inlineStr">
        <is>
          <t xml:space="preserve">ok</t>
        </is>
      </c>
    </row>
    <row r="11">
      <c r="A11" s="0" t="inlineStr">
        <is>
          <t xml:space="preserve">model</t>
        </is>
      </c>
      <c r="B11" s="0" t="inlineStr">
        <is>
          <t xml:space="preserve">value</t>
        </is>
      </c>
      <c r="C11" s="0" t="inlineStr">
        <is>
          <t xml:space="preserve">line = commissions, frame = fcst, department = sales</t>
        </is>
      </c>
      <c r="D11" s="20" t="inlineStr">
        <is>
          <t xml:space="preserve">-revenue[department=company] * plan.commission_pct</t>
        </is>
      </c>
      <c r="E11" s="0" t="inlineStr">
        <is>
          <t xml:space="preserve">ok</t>
        </is>
      </c>
    </row>
    <row r="12">
      <c r="A12" s="0" t="inlineStr">
        <is>
          <t xml:space="preserve">model</t>
        </is>
      </c>
      <c r="B12" s="0" t="inlineStr">
        <is>
          <t xml:space="preserve">value</t>
        </is>
      </c>
      <c r="C12" s="0" t="inlineStr">
        <is>
          <t xml:space="preserve">line = marketing_programs, frame = fcst, department = marketing</t>
        </is>
      </c>
      <c r="D12" s="20" t="inlineStr">
        <is>
          <t xml:space="preserve">-revenue[department=company] * plan.marketing_pct</t>
        </is>
      </c>
      <c r="E12" s="0" t="inlineStr">
        <is>
          <t xml:space="preserve">ok</t>
        </is>
      </c>
    </row>
    <row r="13">
      <c r="A13" s="0" t="inlineStr">
        <is>
          <t xml:space="preserve">model</t>
        </is>
      </c>
      <c r="B13" s="0" t="inlineStr">
        <is>
          <t xml:space="preserve">value</t>
        </is>
      </c>
      <c r="C13" s="0" t="inlineStr">
        <is>
          <t xml:space="preserve">line = cloud, frame = fcst, department = engineering</t>
        </is>
      </c>
      <c r="D13" s="20" t="inlineStr">
        <is>
          <t xml:space="preserve">-revenue[department=company] * plan.cloud_pct</t>
        </is>
      </c>
      <c r="E13" s="0" t="inlineStr">
        <is>
          <t xml:space="preserve">ok</t>
        </is>
      </c>
    </row>
    <row r="14">
      <c r="A14" s="0" t="inlineStr">
        <is>
          <t xml:space="preserve">model</t>
        </is>
      </c>
      <c r="B14" s="0" t="inlineStr">
        <is>
          <t xml:space="preserve">value</t>
        </is>
      </c>
      <c r="C14" s="0" t="inlineStr">
        <is>
          <t xml:space="preserve">line = total</t>
        </is>
      </c>
      <c r="D14" s="20" t="inlineStr">
        <is>
          <t xml:space="preserve">SUM(value[line != total])</t>
        </is>
      </c>
      <c r="E14" s="0" t="inlineStr">
        <is>
          <t xml:space="preserve">ok</t>
        </is>
      </c>
    </row>
    <row r="15">
      <c r="A15" s="0" t="inlineStr">
        <is>
          <t xml:space="preserve">budget</t>
        </is>
      </c>
      <c r="B15" s="0" t="inlineStr">
        <is>
          <t xml:space="preserve">value</t>
        </is>
      </c>
      <c r="C15" s="0" t="inlineStr">
        <is>
          <t xml:space="preserve">line = total</t>
        </is>
      </c>
      <c r="D15" s="20" t="inlineStr">
        <is>
          <t xml:space="preserve">SUM(value[line != total])</t>
        </is>
      </c>
      <c r="E15" s="0" t="inlineStr">
        <is>
          <t xml:space="preserve">ok</t>
        </is>
      </c>
    </row>
    <row r="16">
      <c r="A16" s="0" t="inlineStr">
        <is>
          <t xml:space="preserve">pnl</t>
        </is>
      </c>
      <c r="B16" s="0" t="inlineStr">
        <is>
          <t xml:space="preserve">value</t>
        </is>
      </c>
      <c r="C16" s="0" t="inlineStr">
        <is>
          <t xml:space="preserve">line = revenue</t>
        </is>
      </c>
      <c r="D16" s="20" t="inlineStr">
        <is>
          <t xml:space="preserve">model.revenue[department=company]</t>
        </is>
      </c>
      <c r="E16" s="0" t="inlineStr">
        <is>
          <t xml:space="preserve">ok</t>
        </is>
      </c>
    </row>
    <row r="17">
      <c r="A17" s="0" t="inlineStr">
        <is>
          <t xml:space="preserve">pnl</t>
        </is>
      </c>
      <c r="B17" s="0" t="inlineStr">
        <is>
          <t xml:space="preserve">value</t>
        </is>
      </c>
      <c r="C17" s="0" t="inlineStr">
        <is>
          <t xml:space="preserve">line = cost_of_revenue</t>
        </is>
      </c>
      <c r="D17" s="20" t="inlineStr">
        <is>
          <t xml:space="preserve">SUM(model.value[department=company, line in (cogs_hosting, cogs_support)])</t>
        </is>
      </c>
      <c r="E17" s="0" t="inlineStr">
        <is>
          <t xml:space="preserve">ok</t>
        </is>
      </c>
    </row>
    <row r="18">
      <c r="A18" s="0" t="inlineStr">
        <is>
          <t xml:space="preserve">pnl</t>
        </is>
      </c>
      <c r="B18" s="0" t="inlineStr">
        <is>
          <t xml:space="preserve">value</t>
        </is>
      </c>
      <c r="C18" s="0" t="inlineStr">
        <is>
          <t xml:space="preserve">line = gross_profit</t>
        </is>
      </c>
      <c r="D18" s="20" t="inlineStr">
        <is>
          <t xml:space="preserve">revenue + cost_of_revenue</t>
        </is>
      </c>
      <c r="E18" s="0" t="inlineStr">
        <is>
          <t xml:space="preserve">ok</t>
        </is>
      </c>
    </row>
    <row r="19">
      <c r="A19" s="0" t="inlineStr">
        <is>
          <t xml:space="preserve">pnl</t>
        </is>
      </c>
      <c r="B19" s="0" t="inlineStr">
        <is>
          <t xml:space="preserve">value</t>
        </is>
      </c>
      <c r="C19" s="0" t="inlineStr">
        <is>
          <t xml:space="preserve">line = gross_margin</t>
        </is>
      </c>
      <c r="D19" s="20" t="inlineStr">
        <is>
          <t xml:space="preserve">IFERROR(gross_profit / revenue, BLANK)</t>
        </is>
      </c>
      <c r="E19" s="0" t="inlineStr">
        <is>
          <t xml:space="preserve">ok</t>
        </is>
      </c>
    </row>
    <row r="20">
      <c r="A20" s="0" t="inlineStr">
        <is>
          <t xml:space="preserve">pnl</t>
        </is>
      </c>
      <c r="B20" s="0" t="inlineStr">
        <is>
          <t xml:space="preserve">value</t>
        </is>
      </c>
      <c r="C20" s="0" t="inlineStr">
        <is>
          <t xml:space="preserve">line = opex_sales</t>
        </is>
      </c>
      <c r="D20" s="20" t="inlineStr">
        <is>
          <t xml:space="preserve">SUM(model.value[department=sales, line != total])</t>
        </is>
      </c>
      <c r="E20" s="0" t="inlineStr">
        <is>
          <t xml:space="preserve">ok</t>
        </is>
      </c>
    </row>
    <row r="21">
      <c r="A21" s="0" t="inlineStr">
        <is>
          <t xml:space="preserve">pnl</t>
        </is>
      </c>
      <c r="B21" s="0" t="inlineStr">
        <is>
          <t xml:space="preserve">value</t>
        </is>
      </c>
      <c r="C21" s="0" t="inlineStr">
        <is>
          <t xml:space="preserve">line = opex_marketing</t>
        </is>
      </c>
      <c r="D21" s="20" t="inlineStr">
        <is>
          <t xml:space="preserve">SUM(model.value[department=marketing, line != total])</t>
        </is>
      </c>
      <c r="E21" s="0" t="inlineStr">
        <is>
          <t xml:space="preserve">ok</t>
        </is>
      </c>
    </row>
    <row r="22">
      <c r="A22" s="0" t="inlineStr">
        <is>
          <t xml:space="preserve">pnl</t>
        </is>
      </c>
      <c r="B22" s="0" t="inlineStr">
        <is>
          <t xml:space="preserve">value</t>
        </is>
      </c>
      <c r="C22" s="0" t="inlineStr">
        <is>
          <t xml:space="preserve">line = opex_engineering</t>
        </is>
      </c>
      <c r="D22" s="20" t="inlineStr">
        <is>
          <t xml:space="preserve">SUM(model.value[department=engineering, line != total])</t>
        </is>
      </c>
      <c r="E22" s="0" t="inlineStr">
        <is>
          <t xml:space="preserve">ok</t>
        </is>
      </c>
    </row>
    <row r="23">
      <c r="A23" s="0" t="inlineStr">
        <is>
          <t xml:space="preserve">pnl</t>
        </is>
      </c>
      <c r="B23" s="0" t="inlineStr">
        <is>
          <t xml:space="preserve">value</t>
        </is>
      </c>
      <c r="C23" s="0" t="inlineStr">
        <is>
          <t xml:space="preserve">line = opex_customer_success</t>
        </is>
      </c>
      <c r="D23" s="20" t="inlineStr">
        <is>
          <t xml:space="preserve">SUM(model.value[department=customer_success, line != total])</t>
        </is>
      </c>
      <c r="E23" s="0" t="inlineStr">
        <is>
          <t xml:space="preserve">ok</t>
        </is>
      </c>
    </row>
    <row r="24">
      <c r="A24" s="0" t="inlineStr">
        <is>
          <t xml:space="preserve">pnl</t>
        </is>
      </c>
      <c r="B24" s="0" t="inlineStr">
        <is>
          <t xml:space="preserve">value</t>
        </is>
      </c>
      <c r="C24" s="0" t="inlineStr">
        <is>
          <t xml:space="preserve">line = opex_g_and_a</t>
        </is>
      </c>
      <c r="D24" s="20" t="inlineStr">
        <is>
          <t xml:space="preserve">SUM(model.value[department=g_and_a, line != total])</t>
        </is>
      </c>
      <c r="E24" s="0" t="inlineStr">
        <is>
          <t xml:space="preserve">ok</t>
        </is>
      </c>
    </row>
    <row r="25">
      <c r="A25" s="0" t="inlineStr">
        <is>
          <t xml:space="preserve">pnl</t>
        </is>
      </c>
      <c r="B25" s="0" t="inlineStr">
        <is>
          <t xml:space="preserve">value</t>
        </is>
      </c>
      <c r="C25" s="0" t="inlineStr">
        <is>
          <t xml:space="preserve">line = total_opex</t>
        </is>
      </c>
      <c r="D25" s="20" t="inlineStr">
        <is>
          <t xml:space="preserve">opex_sales + opex_marketing + opex_engineering + opex_customer_success + opex_g_and_a</t>
        </is>
      </c>
      <c r="E25" s="0" t="inlineStr">
        <is>
          <t xml:space="preserve">ok</t>
        </is>
      </c>
    </row>
    <row r="26">
      <c r="A26" s="0" t="inlineStr">
        <is>
          <t xml:space="preserve">pnl</t>
        </is>
      </c>
      <c r="B26" s="0" t="inlineStr">
        <is>
          <t xml:space="preserve">value</t>
        </is>
      </c>
      <c r="C26" s="0" t="inlineStr">
        <is>
          <t xml:space="preserve">line = ebitda</t>
        </is>
      </c>
      <c r="D26" s="20" t="inlineStr">
        <is>
          <t xml:space="preserve">gross_profit + total_opex</t>
        </is>
      </c>
      <c r="E26" s="0" t="inlineStr">
        <is>
          <t xml:space="preserve">ok</t>
        </is>
      </c>
    </row>
    <row r="27">
      <c r="A27" s="0" t="inlineStr">
        <is>
          <t xml:space="preserve">pnl</t>
        </is>
      </c>
      <c r="B27" s="0" t="inlineStr">
        <is>
          <t xml:space="preserve">value</t>
        </is>
      </c>
      <c r="C27" s="0" t="inlineStr">
        <is>
          <t xml:space="preserve">line = ebitda_margin</t>
        </is>
      </c>
      <c r="D27" s="20" t="inlineStr">
        <is>
          <t xml:space="preserve">IFERROR(ebitda / revenue, BLANK)</t>
        </is>
      </c>
      <c r="E27" s="0" t="inlineStr">
        <is>
          <t xml:space="preserve">ok</t>
        </is>
      </c>
    </row>
    <row r="28">
      <c r="A28" s="0" t="inlineStr">
        <is>
          <t xml:space="preserve">pnl</t>
        </is>
      </c>
      <c r="B28" s="0" t="inlineStr">
        <is>
          <t xml:space="preserve">value</t>
        </is>
      </c>
      <c r="C28" s="0" t="inlineStr">
        <is>
          <t xml:space="preserve">line = heads</t>
        </is>
      </c>
      <c r="D28" s="20" t="inlineStr">
        <is>
          <t xml:space="preserve">SUM(headcount.heads)</t>
        </is>
      </c>
      <c r="E28" s="0" t="inlineStr">
        <is>
          <t xml:space="preserve">ok</t>
        </is>
      </c>
    </row>
    <row r="29">
      <c r="A29" s="0" t="inlineStr">
        <is>
          <t xml:space="preserve">pnl_company</t>
        </is>
      </c>
      <c r="B29" s="0" t="inlineStr">
        <is>
          <t xml:space="preserve">value</t>
        </is>
      </c>
      <c r="C29" s="0" t="inlineStr">
        <is>
          <t xml:space="preserve">line = revenue</t>
        </is>
      </c>
      <c r="D29" s="20" t="inlineStr">
        <is>
          <t xml:space="preserve">SUM(pnl.revenue)</t>
        </is>
      </c>
      <c r="E29" s="0" t="inlineStr">
        <is>
          <t xml:space="preserve">ok</t>
        </is>
      </c>
    </row>
    <row r="30">
      <c r="A30" s="0" t="inlineStr">
        <is>
          <t xml:space="preserve">pnl_company</t>
        </is>
      </c>
      <c r="B30" s="0" t="inlineStr">
        <is>
          <t xml:space="preserve">value</t>
        </is>
      </c>
      <c r="C30" s="0" t="inlineStr">
        <is>
          <t xml:space="preserve">line = cost_of_revenue</t>
        </is>
      </c>
      <c r="D30" s="20" t="inlineStr">
        <is>
          <t xml:space="preserve">SUM(pnl.cost_of_revenue)</t>
        </is>
      </c>
      <c r="E30" s="0" t="inlineStr">
        <is>
          <t xml:space="preserve">ok</t>
        </is>
      </c>
    </row>
    <row r="31">
      <c r="A31" s="0" t="inlineStr">
        <is>
          <t xml:space="preserve">pnl_company</t>
        </is>
      </c>
      <c r="B31" s="0" t="inlineStr">
        <is>
          <t xml:space="preserve">value</t>
        </is>
      </c>
      <c r="C31" s="0" t="inlineStr">
        <is>
          <t xml:space="preserve">line = gross_profit</t>
        </is>
      </c>
      <c r="D31" s="20" t="inlineStr">
        <is>
          <t xml:space="preserve">SUM(pnl.gross_profit)</t>
        </is>
      </c>
      <c r="E31" s="0" t="inlineStr">
        <is>
          <t xml:space="preserve">ok</t>
        </is>
      </c>
    </row>
    <row r="32">
      <c r="A32" s="0" t="inlineStr">
        <is>
          <t xml:space="preserve">pnl_company</t>
        </is>
      </c>
      <c r="B32" s="0" t="inlineStr">
        <is>
          <t xml:space="preserve">value</t>
        </is>
      </c>
      <c r="C32" s="0" t="inlineStr">
        <is>
          <t xml:space="preserve">line = opex_sales</t>
        </is>
      </c>
      <c r="D32" s="20" t="inlineStr">
        <is>
          <t xml:space="preserve">SUM(pnl.opex_sales)</t>
        </is>
      </c>
      <c r="E32" s="0" t="inlineStr">
        <is>
          <t xml:space="preserve">ok</t>
        </is>
      </c>
    </row>
    <row r="33">
      <c r="A33" s="0" t="inlineStr">
        <is>
          <t xml:space="preserve">pnl_company</t>
        </is>
      </c>
      <c r="B33" s="0" t="inlineStr">
        <is>
          <t xml:space="preserve">value</t>
        </is>
      </c>
      <c r="C33" s="0" t="inlineStr">
        <is>
          <t xml:space="preserve">line = opex_marketing</t>
        </is>
      </c>
      <c r="D33" s="20" t="inlineStr">
        <is>
          <t xml:space="preserve">SUM(pnl.opex_marketing)</t>
        </is>
      </c>
      <c r="E33" s="0" t="inlineStr">
        <is>
          <t xml:space="preserve">ok</t>
        </is>
      </c>
    </row>
    <row r="34">
      <c r="A34" s="0" t="inlineStr">
        <is>
          <t xml:space="preserve">pnl_company</t>
        </is>
      </c>
      <c r="B34" s="0" t="inlineStr">
        <is>
          <t xml:space="preserve">value</t>
        </is>
      </c>
      <c r="C34" s="0" t="inlineStr">
        <is>
          <t xml:space="preserve">line = opex_engineering</t>
        </is>
      </c>
      <c r="D34" s="20" t="inlineStr">
        <is>
          <t xml:space="preserve">SUM(pnl.opex_engineering)</t>
        </is>
      </c>
      <c r="E34" s="0" t="inlineStr">
        <is>
          <t xml:space="preserve">ok</t>
        </is>
      </c>
    </row>
    <row r="35">
      <c r="A35" s="0" t="inlineStr">
        <is>
          <t xml:space="preserve">pnl_company</t>
        </is>
      </c>
      <c r="B35" s="0" t="inlineStr">
        <is>
          <t xml:space="preserve">value</t>
        </is>
      </c>
      <c r="C35" s="0" t="inlineStr">
        <is>
          <t xml:space="preserve">line = opex_customer_success</t>
        </is>
      </c>
      <c r="D35" s="20" t="inlineStr">
        <is>
          <t xml:space="preserve">SUM(pnl.opex_customer_success)</t>
        </is>
      </c>
      <c r="E35" s="0" t="inlineStr">
        <is>
          <t xml:space="preserve">ok</t>
        </is>
      </c>
    </row>
    <row r="36">
      <c r="A36" s="0" t="inlineStr">
        <is>
          <t xml:space="preserve">pnl_company</t>
        </is>
      </c>
      <c r="B36" s="0" t="inlineStr">
        <is>
          <t xml:space="preserve">value</t>
        </is>
      </c>
      <c r="C36" s="0" t="inlineStr">
        <is>
          <t xml:space="preserve">line = opex_g_and_a</t>
        </is>
      </c>
      <c r="D36" s="20" t="inlineStr">
        <is>
          <t xml:space="preserve">SUM(pnl.opex_g_and_a)</t>
        </is>
      </c>
      <c r="E36" s="0" t="inlineStr">
        <is>
          <t xml:space="preserve">ok</t>
        </is>
      </c>
    </row>
    <row r="37">
      <c r="A37" s="0" t="inlineStr">
        <is>
          <t xml:space="preserve">pnl_company</t>
        </is>
      </c>
      <c r="B37" s="0" t="inlineStr">
        <is>
          <t xml:space="preserve">value</t>
        </is>
      </c>
      <c r="C37" s="0" t="inlineStr">
        <is>
          <t xml:space="preserve">line = total_opex</t>
        </is>
      </c>
      <c r="D37" s="20" t="inlineStr">
        <is>
          <t xml:space="preserve">SUM(pnl.total_opex)</t>
        </is>
      </c>
      <c r="E37" s="0" t="inlineStr">
        <is>
          <t xml:space="preserve">ok</t>
        </is>
      </c>
    </row>
    <row r="38">
      <c r="A38" s="0" t="inlineStr">
        <is>
          <t xml:space="preserve">pnl_company</t>
        </is>
      </c>
      <c r="B38" s="0" t="inlineStr">
        <is>
          <t xml:space="preserve">value</t>
        </is>
      </c>
      <c r="C38" s="0" t="inlineStr">
        <is>
          <t xml:space="preserve">line = ebitda</t>
        </is>
      </c>
      <c r="D38" s="20" t="inlineStr">
        <is>
          <t xml:space="preserve">SUM(pnl.ebitda)</t>
        </is>
      </c>
      <c r="E38" s="0" t="inlineStr">
        <is>
          <t xml:space="preserve">ok</t>
        </is>
      </c>
    </row>
    <row r="39">
      <c r="A39" s="0" t="inlineStr">
        <is>
          <t xml:space="preserve">pnl_company</t>
        </is>
      </c>
      <c r="B39" s="0" t="inlineStr">
        <is>
          <t xml:space="preserve">value</t>
        </is>
      </c>
      <c r="C39" s="0" t="inlineStr">
        <is>
          <t xml:space="preserve">line = heads</t>
        </is>
      </c>
      <c r="D39" s="20" t="inlineStr">
        <is>
          <t xml:space="preserve">SUM(pnl.heads)</t>
        </is>
      </c>
      <c r="E39" s="0" t="inlineStr">
        <is>
          <t xml:space="preserve">ok</t>
        </is>
      </c>
    </row>
    <row r="40">
      <c r="A40" s="0" t="inlineStr">
        <is>
          <t xml:space="preserve">pnl_company</t>
        </is>
      </c>
      <c r="B40" s="0" t="inlineStr">
        <is>
          <t xml:space="preserve">value</t>
        </is>
      </c>
      <c r="C40" s="0" t="inlineStr">
        <is>
          <t xml:space="preserve">line = gross_margin</t>
        </is>
      </c>
      <c r="D40" s="20" t="inlineStr">
        <is>
          <t xml:space="preserve">IFERROR(gross_profit / revenue, BLANK)</t>
        </is>
      </c>
      <c r="E40" s="0" t="inlineStr">
        <is>
          <t xml:space="preserve">ok</t>
        </is>
      </c>
    </row>
    <row r="41">
      <c r="A41" s="0" t="inlineStr">
        <is>
          <t xml:space="preserve">pnl_company</t>
        </is>
      </c>
      <c r="B41" s="0" t="inlineStr">
        <is>
          <t xml:space="preserve">value</t>
        </is>
      </c>
      <c r="C41" s="0" t="inlineStr">
        <is>
          <t xml:space="preserve">line = ebitda_margin</t>
        </is>
      </c>
      <c r="D41" s="20" t="inlineStr">
        <is>
          <t xml:space="preserve">IFERROR(ebitda / revenue, BLANK)</t>
        </is>
      </c>
      <c r="E41" s="0" t="inlineStr">
        <is>
          <t xml:space="preserve">ok</t>
        </is>
      </c>
    </row>
    <row r="42">
      <c r="A42" s="0" t="inlineStr">
        <is>
          <t xml:space="preserve">fy</t>
        </is>
      </c>
      <c r="B42" s="0" t="inlineStr">
        <is>
          <t xml:space="preserve">value</t>
        </is>
      </c>
      <c r="C42" s="0" t="inlineStr">
        <is>
          <t xml:space="preserve">version = ytd_actual</t>
        </is>
      </c>
      <c r="D42" s="20" t="inlineStr">
        <is>
          <t xml:space="preserve">SUM(model.value[period.frame=hist])</t>
        </is>
      </c>
      <c r="E42" s="0" t="inlineStr">
        <is>
          <t xml:space="preserve">ok</t>
        </is>
      </c>
    </row>
    <row r="43">
      <c r="A43" s="0" t="inlineStr">
        <is>
          <t xml:space="preserve">fy</t>
        </is>
      </c>
      <c r="B43" s="0" t="inlineStr">
        <is>
          <t xml:space="preserve">value</t>
        </is>
      </c>
      <c r="C43" s="0" t="inlineStr">
        <is>
          <t xml:space="preserve">version = ytd_budget</t>
        </is>
      </c>
      <c r="D43" s="20" t="inlineStr">
        <is>
          <t xml:space="preserve">SUM(budget.value[period.frame=hist])</t>
        </is>
      </c>
      <c r="E43" s="0" t="inlineStr">
        <is>
          <t xml:space="preserve">ok</t>
        </is>
      </c>
    </row>
    <row r="44">
      <c r="A44" s="0" t="inlineStr">
        <is>
          <t xml:space="preserve">fy</t>
        </is>
      </c>
      <c r="B44" s="0" t="inlineStr">
        <is>
          <t xml:space="preserve">value</t>
        </is>
      </c>
      <c r="C44" s="0" t="inlineStr">
        <is>
          <t xml:space="preserve">version = ytd_variance</t>
        </is>
      </c>
      <c r="D44" s="20" t="inlineStr">
        <is>
          <t xml:space="preserve">value[version=ytd_actual] - value[version=ytd_budget]</t>
        </is>
      </c>
      <c r="E44" s="0" t="inlineStr">
        <is>
          <t xml:space="preserve">ok</t>
        </is>
      </c>
    </row>
    <row r="45">
      <c r="A45" s="0" t="inlineStr">
        <is>
          <t xml:space="preserve">fy</t>
        </is>
      </c>
      <c r="B45" s="0" t="inlineStr">
        <is>
          <t xml:space="preserve">value</t>
        </is>
      </c>
      <c r="C45" s="0" t="inlineStr">
        <is>
          <t xml:space="preserve">version = fy_outlook</t>
        </is>
      </c>
      <c r="D45" s="20" t="inlineStr">
        <is>
          <t xml:space="preserve">SUM(model.value)</t>
        </is>
      </c>
      <c r="E45" s="0" t="inlineStr">
        <is>
          <t xml:space="preserve">ok</t>
        </is>
      </c>
    </row>
    <row r="46">
      <c r="A46" s="0" t="inlineStr">
        <is>
          <t xml:space="preserve">fy</t>
        </is>
      </c>
      <c r="B46" s="0" t="inlineStr">
        <is>
          <t xml:space="preserve">value</t>
        </is>
      </c>
      <c r="C46" s="0" t="inlineStr">
        <is>
          <t xml:space="preserve">version = fy_budget</t>
        </is>
      </c>
      <c r="D46" s="20" t="inlineStr">
        <is>
          <t xml:space="preserve">SUM(budget.value)</t>
        </is>
      </c>
      <c r="E46" s="0" t="inlineStr">
        <is>
          <t xml:space="preserve">ok</t>
        </is>
      </c>
    </row>
    <row r="47">
      <c r="A47" s="0" t="inlineStr">
        <is>
          <t xml:space="preserve">fy</t>
        </is>
      </c>
      <c r="B47" s="0" t="inlineStr">
        <is>
          <t xml:space="preserve">value</t>
        </is>
      </c>
      <c r="C47" s="0" t="inlineStr">
        <is>
          <t xml:space="preserve">version = fy_variance</t>
        </is>
      </c>
      <c r="D47" s="20" t="inlineStr">
        <is>
          <t xml:space="preserve">value[version=fy_outlook] - value[version=fy_budget]</t>
        </is>
      </c>
      <c r="E47" s="0" t="inlineStr">
        <is>
          <t xml:space="preserve">ok</t>
        </is>
      </c>
    </row>
    <row r="48">
      <c r="A48" s="0" t="inlineStr">
        <is>
          <t xml:space="preserve">fy</t>
        </is>
      </c>
      <c r="B48" s="0" t="inlineStr">
        <is>
          <t xml:space="preserve">value</t>
        </is>
      </c>
      <c r="C48" s="0" t="inlineStr">
        <is>
          <t xml:space="preserve">version = fy_variance_pct</t>
        </is>
      </c>
      <c r="D48" s="20" t="inlineStr">
        <is>
          <t xml:space="preserve">IFERROR(value[version=fy_variance] / ABS(value[version=fy_budget]), BLANK)</t>
        </is>
      </c>
      <c r="E48" s="0" t="inlineStr">
        <is>
          <t xml:space="preserve">ok</t>
        </is>
      </c>
    </row>
    <row r="49">
      <c r="A49" s="0" t="inlineStr">
        <is>
          <t xml:space="preserve">fy</t>
        </is>
      </c>
      <c r="B49" s="0" t="inlineStr">
        <is>
          <t xml:space="preserve">heads_end</t>
        </is>
      </c>
      <c r="C49" s="0"/>
      <c r="D49" s="20" t="inlineStr">
        <is>
          <t xml:space="preserve">BLANK</t>
        </is>
      </c>
      <c r="E49" s="0" t="inlineStr">
        <is>
          <t xml:space="preserve">ok</t>
        </is>
      </c>
    </row>
    <row r="50">
      <c r="A50" s="0" t="inlineStr">
        <is>
          <t xml:space="preserve">fy</t>
        </is>
      </c>
      <c r="B50" s="0" t="inlineStr">
        <is>
          <t xml:space="preserve">heads_end</t>
        </is>
      </c>
      <c r="C50" s="0" t="inlineStr">
        <is>
          <t xml:space="preserve">line = total, version = ytd_actual</t>
        </is>
      </c>
      <c r="D50" s="20" t="inlineStr">
        <is>
          <t xml:space="preserve">headcount.heads[period=aug26]</t>
        </is>
      </c>
      <c r="E50" s="0" t="inlineStr">
        <is>
          <t xml:space="preserve">ok</t>
        </is>
      </c>
    </row>
    <row r="51">
      <c r="A51" s="0" t="inlineStr">
        <is>
          <t xml:space="preserve">fy</t>
        </is>
      </c>
      <c r="B51" s="0" t="inlineStr">
        <is>
          <t xml:space="preserve">heads_end</t>
        </is>
      </c>
      <c r="C51" s="0" t="inlineStr">
        <is>
          <t xml:space="preserve">line = total, version = fy_outlook</t>
        </is>
      </c>
      <c r="D51" s="20" t="inlineStr">
        <is>
          <t xml:space="preserve">headcount.heads[period=dec26]</t>
        </is>
      </c>
      <c r="E51" s="0" t="inlineStr">
        <is>
          <t xml:space="preserve">ok</t>
        </is>
      </c>
    </row>
    <row r="52">
      <c r="A52" s="0" t="inlineStr">
        <is>
          <t xml:space="preserve">fy_summary</t>
        </is>
      </c>
      <c r="B52" s="0" t="inlineStr">
        <is>
          <t xml:space="preserve">value</t>
        </is>
      </c>
      <c r="C52" s="0" t="inlineStr">
        <is>
          <t xml:space="preserve">line = revenue</t>
        </is>
      </c>
      <c r="D52" s="20" t="inlineStr">
        <is>
          <t xml:space="preserve">SUM(fy.value[department=company, line=revenue])</t>
        </is>
      </c>
      <c r="E52" s="0" t="inlineStr">
        <is>
          <t xml:space="preserve">ok</t>
        </is>
      </c>
    </row>
    <row r="53">
      <c r="A53" s="0" t="inlineStr">
        <is>
          <t xml:space="preserve">fy_summary</t>
        </is>
      </c>
      <c r="B53" s="0" t="inlineStr">
        <is>
          <t xml:space="preserve">value</t>
        </is>
      </c>
      <c r="C53" s="0" t="inlineStr">
        <is>
          <t xml:space="preserve">line = cost_of_revenue</t>
        </is>
      </c>
      <c r="D53" s="20" t="inlineStr">
        <is>
          <t xml:space="preserve">SUM(fy.value[department=company, line in (cogs_hosting, cogs_support)])</t>
        </is>
      </c>
      <c r="E53" s="0" t="inlineStr">
        <is>
          <t xml:space="preserve">ok</t>
        </is>
      </c>
    </row>
    <row r="54">
      <c r="A54" s="0" t="inlineStr">
        <is>
          <t xml:space="preserve">fy_summary</t>
        </is>
      </c>
      <c r="B54" s="0" t="inlineStr">
        <is>
          <t xml:space="preserve">value</t>
        </is>
      </c>
      <c r="C54" s="0" t="inlineStr">
        <is>
          <t xml:space="preserve">line = gross_profit</t>
        </is>
      </c>
      <c r="D54" s="20" t="inlineStr">
        <is>
          <t xml:space="preserve">revenue + cost_of_revenue</t>
        </is>
      </c>
      <c r="E54" s="0" t="inlineStr">
        <is>
          <t xml:space="preserve">ok</t>
        </is>
      </c>
    </row>
    <row r="55">
      <c r="A55" s="0" t="inlineStr">
        <is>
          <t xml:space="preserve">fy_summary</t>
        </is>
      </c>
      <c r="B55" s="0" t="inlineStr">
        <is>
          <t xml:space="preserve">value</t>
        </is>
      </c>
      <c r="C55" s="0" t="inlineStr">
        <is>
          <t xml:space="preserve">line = opex_sales</t>
        </is>
      </c>
      <c r="D55" s="20" t="inlineStr">
        <is>
          <t xml:space="preserve">SUM(fy.value[department=sales, line != total])</t>
        </is>
      </c>
      <c r="E55" s="0" t="inlineStr">
        <is>
          <t xml:space="preserve">ok</t>
        </is>
      </c>
    </row>
    <row r="56">
      <c r="A56" s="0" t="inlineStr">
        <is>
          <t xml:space="preserve">fy_summary</t>
        </is>
      </c>
      <c r="B56" s="0" t="inlineStr">
        <is>
          <t xml:space="preserve">value</t>
        </is>
      </c>
      <c r="C56" s="0" t="inlineStr">
        <is>
          <t xml:space="preserve">line = opex_marketing</t>
        </is>
      </c>
      <c r="D56" s="20" t="inlineStr">
        <is>
          <t xml:space="preserve">SUM(fy.value[department=marketing, line != total])</t>
        </is>
      </c>
      <c r="E56" s="0" t="inlineStr">
        <is>
          <t xml:space="preserve">ok</t>
        </is>
      </c>
    </row>
    <row r="57">
      <c r="A57" s="0" t="inlineStr">
        <is>
          <t xml:space="preserve">fy_summary</t>
        </is>
      </c>
      <c r="B57" s="0" t="inlineStr">
        <is>
          <t xml:space="preserve">value</t>
        </is>
      </c>
      <c r="C57" s="0" t="inlineStr">
        <is>
          <t xml:space="preserve">line = opex_engineering</t>
        </is>
      </c>
      <c r="D57" s="20" t="inlineStr">
        <is>
          <t xml:space="preserve">SUM(fy.value[department=engineering, line != total])</t>
        </is>
      </c>
      <c r="E57" s="0" t="inlineStr">
        <is>
          <t xml:space="preserve">ok</t>
        </is>
      </c>
    </row>
    <row r="58">
      <c r="A58" s="0" t="inlineStr">
        <is>
          <t xml:space="preserve">fy_summary</t>
        </is>
      </c>
      <c r="B58" s="0" t="inlineStr">
        <is>
          <t xml:space="preserve">value</t>
        </is>
      </c>
      <c r="C58" s="0" t="inlineStr">
        <is>
          <t xml:space="preserve">line = opex_customer_success</t>
        </is>
      </c>
      <c r="D58" s="20" t="inlineStr">
        <is>
          <t xml:space="preserve">SUM(fy.value[department=customer_success, line != total])</t>
        </is>
      </c>
      <c r="E58" s="0" t="inlineStr">
        <is>
          <t xml:space="preserve">ok</t>
        </is>
      </c>
    </row>
    <row r="59">
      <c r="A59" s="0" t="inlineStr">
        <is>
          <t xml:space="preserve">fy_summary</t>
        </is>
      </c>
      <c r="B59" s="0" t="inlineStr">
        <is>
          <t xml:space="preserve">value</t>
        </is>
      </c>
      <c r="C59" s="0" t="inlineStr">
        <is>
          <t xml:space="preserve">line = opex_g_and_a</t>
        </is>
      </c>
      <c r="D59" s="20" t="inlineStr">
        <is>
          <t xml:space="preserve">SUM(fy.value[department=g_and_a, line != total])</t>
        </is>
      </c>
      <c r="E59" s="0" t="inlineStr">
        <is>
          <t xml:space="preserve">ok</t>
        </is>
      </c>
    </row>
    <row r="60">
      <c r="A60" s="0" t="inlineStr">
        <is>
          <t xml:space="preserve">fy_summary</t>
        </is>
      </c>
      <c r="B60" s="0" t="inlineStr">
        <is>
          <t xml:space="preserve">value</t>
        </is>
      </c>
      <c r="C60" s="0" t="inlineStr">
        <is>
          <t xml:space="preserve">line = total_opex</t>
        </is>
      </c>
      <c r="D60" s="20" t="inlineStr">
        <is>
          <t xml:space="preserve">opex_sales + opex_marketing + opex_engineering + opex_customer_success + opex_g_and_a</t>
        </is>
      </c>
      <c r="E60" s="0" t="inlineStr">
        <is>
          <t xml:space="preserve">ok</t>
        </is>
      </c>
    </row>
    <row r="61">
      <c r="A61" s="0" t="inlineStr">
        <is>
          <t xml:space="preserve">fy_summary</t>
        </is>
      </c>
      <c r="B61" s="0" t="inlineStr">
        <is>
          <t xml:space="preserve">value</t>
        </is>
      </c>
      <c r="C61" s="0" t="inlineStr">
        <is>
          <t xml:space="preserve">line = ebitda</t>
        </is>
      </c>
      <c r="D61" s="20" t="inlineStr">
        <is>
          <t xml:space="preserve">gross_profit + total_opex</t>
        </is>
      </c>
      <c r="E61" s="0" t="inlineStr">
        <is>
          <t xml:space="preserve">ok</t>
        </is>
      </c>
    </row>
    <row r="62">
      <c r="A62" s="0" t="inlineStr">
        <is>
          <t xml:space="preserve">fy_summary</t>
        </is>
      </c>
      <c r="B62" s="0" t="inlineStr">
        <is>
          <t xml:space="preserve">value</t>
        </is>
      </c>
      <c r="C62" s="0" t="inlineStr">
        <is>
          <t xml:space="preserve">version = fy_variance_pct</t>
        </is>
      </c>
      <c r="D62" s="20" t="inlineStr">
        <is>
          <t xml:space="preserve">IFERROR(value[version=fy_variance] / ABS(value[version=fy_budget]), BLANK)</t>
        </is>
      </c>
      <c r="E62" s="0" t="inlineStr">
        <is>
          <t xml:space="preserve">ok</t>
        </is>
      </c>
    </row>
    <row r="63">
      <c r="A63" s="0" t="inlineStr">
        <is>
          <t xml:space="preserve">fy_summary</t>
        </is>
      </c>
      <c r="B63" s="0" t="inlineStr">
        <is>
          <t xml:space="preserve">value</t>
        </is>
      </c>
      <c r="C63" s="0" t="inlineStr">
        <is>
          <t xml:space="preserve">line = gross_margin</t>
        </is>
      </c>
      <c r="D63" s="20" t="inlineStr">
        <is>
          <t xml:space="preserve">IFERROR(gross_profit / revenue, BLANK)</t>
        </is>
      </c>
      <c r="E63" s="0" t="inlineStr">
        <is>
          <t xml:space="preserve">ok</t>
        </is>
      </c>
    </row>
    <row r="64">
      <c r="A64" s="0" t="inlineStr">
        <is>
          <t xml:space="preserve">fy_summary</t>
        </is>
      </c>
      <c r="B64" s="0" t="inlineStr">
        <is>
          <t xml:space="preserve">value</t>
        </is>
      </c>
      <c r="C64" s="0" t="inlineStr">
        <is>
          <t xml:space="preserve">line = ebitda_margin</t>
        </is>
      </c>
      <c r="D64" s="20" t="inlineStr">
        <is>
          <t xml:space="preserve">IFERROR(ebitda / revenue, BLANK)</t>
        </is>
      </c>
      <c r="E64" s="0" t="inlineStr">
        <is>
          <t xml:space="preserve">ok</t>
        </is>
      </c>
    </row>
    <row r="65">
      <c r="A65" s="0" t="inlineStr">
        <is>
          <t xml:space="preserve">fy_summary</t>
        </is>
      </c>
      <c r="B65" s="0" t="inlineStr">
        <is>
          <t xml:space="preserve">value</t>
        </is>
      </c>
      <c r="C65" s="0" t="inlineStr">
        <is>
          <t xml:space="preserve">line = gross_margin, version = ytd_variance</t>
        </is>
      </c>
      <c r="D65" s="20" t="inlineStr">
        <is>
          <t xml:space="preserve">gross_margin[version=ytd_actual] - gross_margin[version=ytd_budget]</t>
        </is>
      </c>
      <c r="E65" s="0" t="inlineStr">
        <is>
          <t xml:space="preserve">ok</t>
        </is>
      </c>
    </row>
    <row r="66">
      <c r="A66" s="0" t="inlineStr">
        <is>
          <t xml:space="preserve">fy_summary</t>
        </is>
      </c>
      <c r="B66" s="0" t="inlineStr">
        <is>
          <t xml:space="preserve">value</t>
        </is>
      </c>
      <c r="C66" s="0" t="inlineStr">
        <is>
          <t xml:space="preserve">line = gross_margin, version = fy_variance</t>
        </is>
      </c>
      <c r="D66" s="20" t="inlineStr">
        <is>
          <t xml:space="preserve">gross_margin[version=fy_outlook] - gross_margin[version=fy_budget]</t>
        </is>
      </c>
      <c r="E66" s="0" t="inlineStr">
        <is>
          <t xml:space="preserve">ok</t>
        </is>
      </c>
    </row>
    <row r="67">
      <c r="A67" s="0" t="inlineStr">
        <is>
          <t xml:space="preserve">fy_summary</t>
        </is>
      </c>
      <c r="B67" s="0" t="inlineStr">
        <is>
          <t xml:space="preserve">value</t>
        </is>
      </c>
      <c r="C67" s="0" t="inlineStr">
        <is>
          <t xml:space="preserve">line = ebitda_margin, version = ytd_variance</t>
        </is>
      </c>
      <c r="D67" s="20" t="inlineStr">
        <is>
          <t xml:space="preserve">ebitda_margin[version=ytd_actual] - ebitda_margin[version=ytd_budget]</t>
        </is>
      </c>
      <c r="E67" s="0" t="inlineStr">
        <is>
          <t xml:space="preserve">ok</t>
        </is>
      </c>
    </row>
    <row r="68">
      <c r="A68" s="0" t="inlineStr">
        <is>
          <t xml:space="preserve">fy_summary</t>
        </is>
      </c>
      <c r="B68" s="0" t="inlineStr">
        <is>
          <t xml:space="preserve">value</t>
        </is>
      </c>
      <c r="C68" s="0" t="inlineStr">
        <is>
          <t xml:space="preserve">line = ebitda_margin, version = fy_variance</t>
        </is>
      </c>
      <c r="D68" s="20" t="inlineStr">
        <is>
          <t xml:space="preserve">ebitda_margin[version=fy_outlook] - ebitda_margin[version=fy_budget]</t>
        </is>
      </c>
      <c r="E68" s="0" t="inlineStr">
        <is>
          <t xml:space="preserve">ok</t>
        </is>
      </c>
    </row>
    <row r="69">
      <c r="A69" s="0" t="inlineStr">
        <is>
          <t xml:space="preserve">fy_summary</t>
        </is>
      </c>
      <c r="B69" s="0" t="inlineStr">
        <is>
          <t xml:space="preserve">value</t>
        </is>
      </c>
      <c r="C69" s="0" t="inlineStr">
        <is>
          <t xml:space="preserve">line = gross_margin, version = fy_variance_pct</t>
        </is>
      </c>
      <c r="D69" s="20" t="inlineStr">
        <is>
          <t xml:space="preserve">BLANK</t>
        </is>
      </c>
      <c r="E69" s="0" t="inlineStr">
        <is>
          <t xml:space="preserve">ok</t>
        </is>
      </c>
    </row>
    <row r="70">
      <c r="A70" s="0" t="inlineStr">
        <is>
          <t xml:space="preserve">fy_summary</t>
        </is>
      </c>
      <c r="B70" s="0" t="inlineStr">
        <is>
          <t xml:space="preserve">value</t>
        </is>
      </c>
      <c r="C70" s="0" t="inlineStr">
        <is>
          <t xml:space="preserve">line = ebitda_margin, version = fy_variance_pct</t>
        </is>
      </c>
      <c r="D70" s="20" t="inlineStr">
        <is>
          <t xml:space="preserve">BLANK</t>
        </is>
      </c>
      <c r="E70" s="0" t="inlineStr">
        <is>
          <t xml:space="preserve">ok</t>
        </is>
      </c>
    </row>
    <row r="71">
      <c r="A71" s="0" t="inlineStr">
        <is>
          <t xml:space="preserve">fy_summary</t>
        </is>
      </c>
      <c r="B71" s="0" t="inlineStr">
        <is>
          <t xml:space="preserve">value</t>
        </is>
      </c>
      <c r="C71" s="0" t="inlineStr">
        <is>
          <t xml:space="preserve">line = heads</t>
        </is>
      </c>
      <c r="D71" s="20" t="inlineStr">
        <is>
          <t xml:space="preserve">BLANK</t>
        </is>
      </c>
      <c r="E71" s="0" t="inlineStr">
        <is>
          <t xml:space="preserve">ok</t>
        </is>
      </c>
    </row>
    <row r="72">
      <c r="A72" s="0" t="inlineStr">
        <is>
          <t xml:space="preserve">fy_summary</t>
        </is>
      </c>
      <c r="B72" s="0" t="inlineStr">
        <is>
          <t xml:space="preserve">value</t>
        </is>
      </c>
      <c r="C72" s="0" t="inlineStr">
        <is>
          <t xml:space="preserve">line = heads, version = ytd_actual</t>
        </is>
      </c>
      <c r="D72" s="20" t="inlineStr">
        <is>
          <t xml:space="preserve">SUM(fy.heads_end)</t>
        </is>
      </c>
      <c r="E72" s="0" t="inlineStr">
        <is>
          <t xml:space="preserve">ok</t>
        </is>
      </c>
    </row>
    <row r="73">
      <c r="A73" s="0" t="inlineStr">
        <is>
          <t xml:space="preserve">fy_summary</t>
        </is>
      </c>
      <c r="B73" s="0" t="inlineStr">
        <is>
          <t xml:space="preserve">value</t>
        </is>
      </c>
      <c r="C73" s="0" t="inlineStr">
        <is>
          <t xml:space="preserve">line = heads, version = fy_outlook</t>
        </is>
      </c>
      <c r="D73" s="20" t="inlineStr">
        <is>
          <t xml:space="preserve">SUM(fy.heads_end)</t>
        </is>
      </c>
      <c r="E73" s="0" t="inlineStr">
        <is>
          <t xml:space="preserve">ok</t>
        </is>
      </c>
    </row>
    <row r="75">
      <c r="A75" s="3" t="inlineStr">
        <is>
          <t xml:space="preserve">Rules are what the model is made of; the cell formulas on the other sheets were compiled from them. Inputs are blue, formulas black.</t>
        </is>
      </c>
    </row>
  </sheetData>
</worksheet>
</file>

<file path=docProps/app.xml><?xml version="1.0" encoding="utf-8"?>
<Properties xmlns="http://schemas.openxmlformats.org/officeDocument/2006/extended-properties">
  <Application>Finicast finidb</Application>
</Properties>
</file>